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USI" sheetId="1" state="visible" r:id="rId1"/>
    <sheet xmlns:r="http://schemas.openxmlformats.org/officeDocument/2006/relationships" name="Parameters" sheetId="2" state="visible" r:id="rId2"/>
    <sheet xmlns:r="http://schemas.openxmlformats.org/officeDocument/2006/relationships" name="Consolidated" sheetId="3" state="visible" r:id="rId3"/>
    <sheet xmlns:r="http://schemas.openxmlformats.org/officeDocument/2006/relationships" name="Investment" sheetId="4" state="visible" r:id="rId4"/>
    <sheet xmlns:r="http://schemas.openxmlformats.org/officeDocument/2006/relationships" name="School Pipeline" sheetId="5" state="visible" r:id="rId5"/>
    <sheet xmlns:r="http://schemas.openxmlformats.org/officeDocument/2006/relationships" name="Institutional" sheetId="6" state="visible" r:id="rId6"/>
    <sheet xmlns:r="http://schemas.openxmlformats.org/officeDocument/2006/relationships" name="Consumer (B2C)" sheetId="7" state="visible" r:id="rId7"/>
    <sheet xmlns:r="http://schemas.openxmlformats.org/officeDocument/2006/relationships" name="PD &amp; Licensing" sheetId="8" state="visible" r:id="rId8"/>
    <sheet xmlns:r="http://schemas.openxmlformats.org/officeDocument/2006/relationships" name="Cash Flow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"/>
  </numFmts>
  <fonts count="41">
    <font>
      <name val="Calibri"/>
      <family val="2"/>
      <color theme="1"/>
      <sz val="11"/>
      <scheme val="minor"/>
    </font>
    <font>
      <b val="1"/>
      <color rgb="00FFFFFF"/>
      <sz val="42"/>
    </font>
    <font>
      <color rgb="00C8872A"/>
      <sz val="16"/>
    </font>
    <font>
      <i val="1"/>
      <color rgb="008A7D6E"/>
      <sz val="11"/>
    </font>
    <font>
      <color rgb="00EDE8E0"/>
      <sz val="11"/>
    </font>
    <font>
      <color rgb="008A7D6E"/>
      <sz val="10"/>
    </font>
    <font>
      <i val="1"/>
      <color rgb="008A7D6E"/>
      <sz val="9"/>
    </font>
    <font>
      <b val="1"/>
      <color rgb="00C8872A"/>
      <sz val="18"/>
    </font>
    <font>
      <color rgb="008A7D6E"/>
      <sz val="9"/>
    </font>
    <font>
      <color rgb="00C8872A"/>
      <sz val="9"/>
    </font>
    <font>
      <b val="1"/>
      <color rgb="00FFFFFF"/>
      <sz val="11"/>
    </font>
    <font>
      <b val="1"/>
      <color rgb="00C8872A"/>
      <sz val="9"/>
    </font>
    <font>
      <color rgb="00EDE8E0"/>
      <sz val="9"/>
    </font>
    <font>
      <b val="1"/>
      <color rgb="00C8872A"/>
      <sz val="13"/>
    </font>
    <font>
      <b val="1"/>
      <color rgb="00FFFFFF"/>
      <sz val="10"/>
    </font>
    <font>
      <sz val="10"/>
    </font>
    <font>
      <b val="1"/>
      <sz val="10"/>
    </font>
    <font>
      <b val="1"/>
      <color rgb="00FFFFFF"/>
      <sz val="22"/>
    </font>
    <font>
      <color rgb="00C8872A"/>
      <sz val="11"/>
    </font>
    <font>
      <color rgb="00666666"/>
      <sz val="8"/>
    </font>
    <font>
      <b val="1"/>
      <color rgb="00C8872A"/>
      <sz val="15"/>
    </font>
    <font>
      <name val="Space Grotesk"/>
      <b val="1"/>
      <color rgb="00FFFFFF"/>
      <sz val="42"/>
    </font>
    <font>
      <name val="Space Grotesk"/>
      <color rgb="00C8872A"/>
      <sz val="16"/>
    </font>
    <font>
      <name val="Space Grotesk"/>
      <i val="1"/>
      <color rgb="008A7D6E"/>
      <sz val="11"/>
    </font>
    <font>
      <name val="Space Grotesk"/>
      <color rgb="00EDE8E0"/>
      <sz val="11"/>
    </font>
    <font>
      <name val="Space Grotesk"/>
      <color rgb="008A7D6E"/>
      <sz val="10"/>
    </font>
    <font>
      <name val="Space Grotesk"/>
      <i val="1"/>
      <color rgb="008A7D6E"/>
      <sz val="9"/>
    </font>
    <font>
      <name val="Space Grotesk"/>
      <b val="1"/>
      <color rgb="00C8872A"/>
      <sz val="18"/>
    </font>
    <font>
      <name val="Space Grotesk"/>
      <color rgb="008A7D6E"/>
      <sz val="9"/>
    </font>
    <font>
      <name val="Space Grotesk"/>
      <color rgb="00C8872A"/>
      <sz val="9"/>
    </font>
    <font>
      <name val="Space Grotesk"/>
      <b val="1"/>
      <color rgb="00FFFFFF"/>
      <sz val="11"/>
    </font>
    <font>
      <name val="Space Grotesk"/>
      <b val="1"/>
      <color rgb="00C8872A"/>
      <sz val="9"/>
    </font>
    <font>
      <name val="Space Grotesk"/>
      <color rgb="00EDE8E0"/>
      <sz val="9"/>
    </font>
    <font>
      <name val="Space Grotesk"/>
      <b val="1"/>
      <color rgb="00C8872A"/>
      <sz val="13"/>
    </font>
    <font>
      <name val="Space Grotesk"/>
      <b val="1"/>
      <color rgb="00FFFFFF"/>
      <sz val="10"/>
    </font>
    <font>
      <name val="Space Grotesk"/>
      <sz val="10"/>
    </font>
    <font>
      <name val="Space Grotesk"/>
      <b val="1"/>
      <sz val="10"/>
    </font>
    <font>
      <name val="Space Grotesk"/>
      <b val="1"/>
      <color rgb="00FFFFFF"/>
      <sz val="22"/>
    </font>
    <font>
      <name val="Space Grotesk"/>
      <color rgb="00C8872A"/>
      <sz val="11"/>
    </font>
    <font>
      <name val="Space Grotesk"/>
      <color rgb="00666666"/>
      <sz val="8"/>
    </font>
    <font>
      <name val="Space Grotesk"/>
      <b val="1"/>
      <color rgb="00C8872A"/>
      <sz val="15"/>
    </font>
  </fonts>
  <fills count="7">
    <fill>
      <patternFill/>
    </fill>
    <fill>
      <patternFill patternType="gray125"/>
    </fill>
    <fill>
      <patternFill patternType="solid">
        <fgColor rgb="000D1824"/>
        <bgColor rgb="000D1824"/>
      </patternFill>
    </fill>
    <fill>
      <patternFill patternType="solid">
        <fgColor rgb="00C8872A"/>
        <bgColor rgb="00C8872A"/>
      </patternFill>
    </fill>
    <fill>
      <patternFill patternType="solid">
        <fgColor rgb="00162030"/>
        <bgColor rgb="00162030"/>
      </patternFill>
    </fill>
    <fill>
      <patternFill patternType="solid">
        <fgColor rgb="00FDF3C0"/>
        <bgColor rgb="00FDF3C0"/>
      </patternFill>
    </fill>
    <fill>
      <patternFill patternType="solid">
        <fgColor rgb="00EDE8E0"/>
        <bgColor rgb="00EDE8E0"/>
      </patternFill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21" fillId="2" borderId="0" pivotButton="0" quotePrefix="0" xfId="0"/>
    <xf numFmtId="0" fontId="22" fillId="2" borderId="0" pivotButton="0" quotePrefix="0" xfId="0"/>
    <xf numFmtId="0" fontId="23" fillId="2" borderId="0" pivotButton="0" quotePrefix="0" xfId="0"/>
    <xf numFmtId="0" fontId="24" fillId="2" borderId="0" pivotButton="0" quotePrefix="0" xfId="0"/>
    <xf numFmtId="0" fontId="25" fillId="2" borderId="0" pivotButton="0" quotePrefix="0" xfId="0"/>
    <xf numFmtId="0" fontId="26" fillId="2" borderId="0" pivotButton="0" quotePrefix="0" xfId="0"/>
    <xf numFmtId="0" fontId="27" fillId="2" borderId="0" pivotButton="0" quotePrefix="0" xfId="0"/>
    <xf numFmtId="0" fontId="28" fillId="2" borderId="0" pivotButton="0" quotePrefix="0" xfId="0"/>
    <xf numFmtId="0" fontId="29" fillId="2" borderId="0" pivotButton="0" quotePrefix="0" xfId="0"/>
    <xf numFmtId="0" fontId="30" fillId="2" borderId="0" pivotButton="0" quotePrefix="0" xfId="0"/>
    <xf numFmtId="0" fontId="31" fillId="2" borderId="0" pivotButton="0" quotePrefix="0" xfId="0"/>
    <xf numFmtId="0" fontId="32" fillId="2" borderId="0" applyAlignment="1" pivotButton="0" quotePrefix="0" xfId="0">
      <alignment vertical="center" wrapText="1"/>
    </xf>
    <xf numFmtId="0" fontId="33" fillId="2" borderId="0" pivotButton="0" quotePrefix="0" xfId="0"/>
    <xf numFmtId="0" fontId="34" fillId="4" borderId="0" applyAlignment="1" pivotButton="0" quotePrefix="0" xfId="0">
      <alignment horizontal="left"/>
    </xf>
    <xf numFmtId="0" fontId="0" fillId="4" borderId="0" pivotButton="0" quotePrefix="0" xfId="0"/>
    <xf numFmtId="0" fontId="34" fillId="2" borderId="0" applyAlignment="1" pivotButton="0" quotePrefix="0" xfId="0">
      <alignment horizontal="center"/>
    </xf>
    <xf numFmtId="0" fontId="35" fillId="0" borderId="0" pivotButton="0" quotePrefix="0" xfId="0"/>
    <xf numFmtId="0" fontId="0" fillId="5" borderId="0" applyAlignment="1" pivotButton="0" quotePrefix="0" xfId="0">
      <alignment horizontal="left"/>
    </xf>
    <xf numFmtId="0" fontId="26" fillId="0" borderId="0" pivotButton="0" quotePrefix="0" xfId="0"/>
    <xf numFmtId="164" fontId="0" fillId="5" borderId="0" applyAlignment="1" pivotButton="0" quotePrefix="0" xfId="0">
      <alignment horizontal="right"/>
    </xf>
    <xf numFmtId="165" fontId="0" fillId="5" borderId="0" applyAlignment="1" pivotButton="0" quotePrefix="0" xfId="0">
      <alignment horizontal="right"/>
    </xf>
    <xf numFmtId="165" fontId="0" fillId="6" borderId="0" applyAlignment="1" pivotButton="0" quotePrefix="0" xfId="0">
      <alignment horizontal="right"/>
    </xf>
    <xf numFmtId="164" fontId="0" fillId="6" borderId="0" applyAlignment="1" pivotButton="0" quotePrefix="0" xfId="0">
      <alignment horizontal="right"/>
    </xf>
    <xf numFmtId="3" fontId="0" fillId="5" borderId="0" applyAlignment="1" pivotButton="0" quotePrefix="0" xfId="0">
      <alignment horizontal="right"/>
    </xf>
    <xf numFmtId="3" fontId="0" fillId="6" borderId="0" applyAlignment="1" pivotButton="0" quotePrefix="0" xfId="0">
      <alignment horizontal="right"/>
    </xf>
    <xf numFmtId="164" fontId="0" fillId="6" borderId="0" pivotButton="0" quotePrefix="0" xfId="0"/>
    <xf numFmtId="0" fontId="36" fillId="0" borderId="0" pivotButton="0" quotePrefix="0" xfId="0"/>
    <xf numFmtId="164" fontId="36" fillId="6" borderId="1" applyAlignment="1" pivotButton="0" quotePrefix="0" xfId="0">
      <alignment horizontal="right"/>
    </xf>
    <xf numFmtId="0" fontId="37" fillId="2" borderId="0" pivotButton="0" quotePrefix="0" xfId="0"/>
    <xf numFmtId="0" fontId="38" fillId="2" borderId="0" pivotButton="0" quotePrefix="0" xfId="0"/>
    <xf numFmtId="0" fontId="39" fillId="2" borderId="0" pivotButton="0" quotePrefix="0" xfId="0"/>
    <xf numFmtId="164" fontId="40" fillId="2" borderId="0" applyAlignment="1" pivotButton="0" quotePrefix="0" xfId="0">
      <alignment horizontal="left"/>
    </xf>
    <xf numFmtId="3" fontId="40" fillId="2" borderId="0" applyAlignment="1" pivotButton="0" quotePrefix="0" xfId="0">
      <alignment horizontal="left"/>
    </xf>
    <xf numFmtId="165" fontId="40" fillId="2" borderId="0" applyAlignment="1" pivotButton="0" quotePrefix="0" xfId="0">
      <alignment horizontal="left"/>
    </xf>
    <xf numFmtId="0" fontId="0" fillId="6" borderId="0" applyAlignment="1" pivotButton="0" quotePrefix="0" xfId="0">
      <alignment horizontal="right"/>
    </xf>
    <xf numFmtId="166" fontId="0" fillId="6" borderId="0" applyAlignment="1" pivotButton="0" quotePrefix="0" xfId="0">
      <alignment horizontal="right"/>
    </xf>
    <xf numFmtId="0" fontId="34" fillId="2" borderId="0" applyAlignment="1" pivotButton="0" quotePrefix="0" xfId="0">
      <alignment horizontal="left"/>
    </xf>
    <xf numFmtId="0" fontId="34" fillId="2" borderId="0" applyAlignment="1" pivotButton="0" quotePrefix="0" xfId="0">
      <alignment horizontal="right"/>
    </xf>
    <xf numFmtId="165" fontId="36" fillId="6" borderId="1" applyAlignment="1" pivotButton="0" quotePrefix="0" xfId="0">
      <alignment horizontal="right"/>
    </xf>
    <xf numFmtId="0" fontId="35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8872A"/>
    <outlinePr summaryBelow="1" summaryRight="1"/>
    <pageSetUpPr/>
  </sheetPr>
  <dimension ref="A1:H4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/>
    <row r="2">
      <c r="A2" s="1" t="n"/>
      <c r="B2" s="1" t="n"/>
      <c r="C2" s="1" t="n"/>
      <c r="D2" s="1" t="n"/>
      <c r="E2" s="1" t="n"/>
      <c r="F2" s="1" t="n"/>
      <c r="G2" s="1" t="n"/>
      <c r="H2" s="1" t="n"/>
    </row>
    <row r="3" ht="4" customHeight="1">
      <c r="A3" s="1" t="n"/>
      <c r="B3" s="2" t="n"/>
      <c r="C3" s="2" t="n"/>
      <c r="D3" s="2" t="n"/>
      <c r="E3" s="2" t="n"/>
      <c r="F3" s="2" t="n"/>
      <c r="G3" s="2" t="n"/>
      <c r="H3" s="1" t="n"/>
    </row>
    <row r="4" ht="56" customHeight="1">
      <c r="A4" s="1" t="n"/>
      <c r="B4" s="3" t="inlineStr">
        <is>
          <t>YUSI</t>
        </is>
      </c>
      <c r="C4" s="1" t="n"/>
      <c r="D4" s="1" t="n"/>
      <c r="E4" s="1" t="n"/>
      <c r="F4" s="1" t="n"/>
      <c r="G4" s="1" t="n"/>
      <c r="H4" s="1" t="n"/>
    </row>
    <row r="5" ht="28" customHeight="1">
      <c r="A5" s="1" t="n"/>
      <c r="B5" s="4" t="inlineStr">
        <is>
          <t>Financial Model</t>
        </is>
      </c>
      <c r="C5" s="1" t="n"/>
      <c r="D5" s="1" t="n"/>
      <c r="E5" s="1" t="n"/>
      <c r="F5" s="1" t="n"/>
      <c r="G5" s="1" t="n"/>
      <c r="H5" s="1" t="n"/>
    </row>
    <row r="6" ht="20" customHeight="1">
      <c r="A6" s="1" t="n"/>
      <c r="B6" s="5" t="inlineStr">
        <is>
          <t>A platform for schools: curated short films, each with a ready-to-use lesson plan built in. Students discover films in class, families subscribe at home.</t>
        </is>
      </c>
      <c r="C6" s="1" t="n"/>
      <c r="D6" s="1" t="n"/>
      <c r="E6" s="1" t="n"/>
      <c r="F6" s="1" t="n"/>
      <c r="G6" s="1" t="n"/>
      <c r="H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</row>
    <row r="8">
      <c r="A8" s="1" t="n"/>
      <c r="B8" s="6" t="inlineStr">
        <is>
          <t>Teachers already want to use film. What stops them is the preparation it requires. YUSI removes that barrier: every film comes with a complete lesson package, ready to use in a single period.</t>
        </is>
      </c>
      <c r="C8" s="1" t="n"/>
      <c r="D8" s="1" t="n"/>
      <c r="E8" s="1" t="n"/>
      <c r="F8" s="1" t="n"/>
      <c r="G8" s="1" t="n"/>
      <c r="H8" s="1" t="n"/>
    </row>
    <row r="9">
      <c r="A9" s="1" t="n"/>
      <c r="B9" s="7" t="inlineStr">
        <is>
          <t>Sales path: individual teachers, then school-wide adoption, then institutional agreements. Consumer subscriptions follow as students bring YUSI home.</t>
        </is>
      </c>
      <c r="C9" s="1" t="n"/>
      <c r="D9" s="1" t="n"/>
      <c r="E9" s="1" t="n"/>
      <c r="F9" s="1" t="n"/>
      <c r="G9" s="1" t="n"/>
      <c r="H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</row>
    <row r="11">
      <c r="A11" s="1" t="n"/>
      <c r="B11" s="8" t="inlineStr">
        <is>
          <t>Configured for:</t>
        </is>
      </c>
      <c r="C11" s="1" t="n"/>
      <c r="D11" s="1" t="n"/>
      <c r="E11" s="1" t="n"/>
      <c r="F11" s="1" t="n"/>
      <c r="G11" s="1" t="n"/>
      <c r="H11" s="1" t="n"/>
    </row>
    <row r="12" ht="30" customHeight="1">
      <c r="A12" s="1" t="n"/>
      <c r="B12" s="9">
        <f>'Parameters'!B6</f>
        <v/>
      </c>
      <c r="C12" s="1" t="n"/>
      <c r="D12" s="1" t="n"/>
      <c r="E12" s="1" t="n"/>
      <c r="F12" s="1" t="n"/>
      <c r="G12" s="1" t="n"/>
      <c r="H12" s="1" t="n"/>
    </row>
    <row r="13">
      <c r="A13" s="1" t="n"/>
      <c r="B13" s="7">
        <f>'Parameters'!B7</f>
        <v/>
      </c>
      <c r="C13" s="1" t="n"/>
      <c r="D13" s="1" t="n"/>
      <c r="E13" s="1" t="n"/>
      <c r="F13" s="1" t="n"/>
      <c r="G13" s="1" t="n"/>
      <c r="H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</row>
    <row r="15" ht="2" customHeight="1">
      <c r="A15" s="1" t="n"/>
      <c r="B15" s="2" t="n"/>
      <c r="C15" s="2" t="n"/>
      <c r="D15" s="2" t="n"/>
      <c r="E15" s="2" t="n"/>
      <c r="F15" s="2" t="n"/>
      <c r="G15" s="2" t="n"/>
      <c r="H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</row>
    <row r="17" ht="48" customHeight="1">
      <c r="A17" s="1" t="n"/>
      <c r="B17" s="10" t="inlineStr">
        <is>
          <t>Sheets in this model: Parameters (all editable inputs) · Consolidated (full profit &amp; loss summary) · Investment (investor-facing summary) · School Pipeline (direct school subscriptions) · Institutional (government &amp; system-level contracts) · Consumer B2C (family subscriptions from school exposure) · PD &amp; Licensing (teacher training revenue) · Cash Flow (annual cash position and funding needs)</t>
        </is>
      </c>
      <c r="C17" s="1" t="n"/>
      <c r="D17" s="1" t="n"/>
      <c r="E17" s="1" t="n"/>
      <c r="F17" s="1" t="n"/>
      <c r="G17" s="1" t="n"/>
      <c r="H17" s="1" t="n"/>
    </row>
    <row r="18">
      <c r="A18" s="1" t="n"/>
      <c r="B18" s="11" t="inlineStr">
        <is>
          <t>Cells highlighted in yellow are editable inputs. All other coloured cells are calculated automatically.</t>
        </is>
      </c>
      <c r="C18" s="1" t="n"/>
      <c r="D18" s="1" t="n"/>
      <c r="E18" s="1" t="n"/>
      <c r="F18" s="1" t="n"/>
      <c r="G18" s="1" t="n"/>
      <c r="H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</row>
    <row r="21" ht="2" customHeight="1">
      <c r="A21" s="1" t="n"/>
      <c r="B21" s="2" t="n"/>
      <c r="C21" s="2" t="n"/>
      <c r="D21" s="2" t="n"/>
      <c r="E21" s="2" t="n"/>
      <c r="F21" s="2" t="n"/>
      <c r="G21" s="2" t="n"/>
      <c r="H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</row>
    <row r="23" ht="20" customHeight="1">
      <c r="A23" s="1" t="n"/>
      <c r="B23" s="12" t="inlineStr">
        <is>
          <t>Glossary</t>
        </is>
      </c>
      <c r="C23" s="1" t="n"/>
      <c r="D23" s="1" t="n"/>
      <c r="E23" s="1" t="n"/>
      <c r="F23" s="1" t="n"/>
      <c r="G23" s="1" t="n"/>
      <c r="H23" s="1" t="n"/>
    </row>
    <row r="24" ht="18" customHeight="1">
      <c r="A24" s="1" t="n"/>
      <c r="B24" s="13" t="inlineStr">
        <is>
          <t>ARR</t>
        </is>
      </c>
      <c r="C24" s="14" t="inlineStr">
        <is>
          <t>Annual Recurring Revenue. The total subscription income expected from active schools in a given year.</t>
        </is>
      </c>
    </row>
    <row r="25" ht="18" customHeight="1">
      <c r="A25" s="1" t="n"/>
      <c r="B25" s="13" t="inlineStr">
        <is>
          <t>B2B</t>
        </is>
      </c>
      <c r="C25" s="14" t="inlineStr">
        <is>
          <t>Business to business. Schools and networks that subscribe directly to YUSI.</t>
        </is>
      </c>
    </row>
    <row r="26" ht="18" customHeight="1">
      <c r="A26" s="1" t="n"/>
      <c r="B26" s="13" t="inlineStr">
        <is>
          <t>B2B2C</t>
        </is>
      </c>
      <c r="C26" s="14" t="inlineStr">
        <is>
          <t>Business to business to consumer. Students discover YUSI in school (B2B), then families subscribe at home (B2C). The school is the distribution channel.</t>
        </is>
      </c>
    </row>
    <row r="27" ht="18" customHeight="1">
      <c r="A27" s="1" t="n"/>
      <c r="B27" s="13" t="inlineStr">
        <is>
          <t>B2C</t>
        </is>
      </c>
      <c r="C27" s="14" t="inlineStr">
        <is>
          <t>Business to consumer. Family subscriptions purchased by parents or students outside school hours.</t>
        </is>
      </c>
    </row>
    <row r="28" ht="18" customHeight="1">
      <c r="A28" s="1" t="n"/>
      <c r="B28" s="13" t="inlineStr">
        <is>
          <t>B2G</t>
        </is>
      </c>
      <c r="C28" s="14" t="inlineStr">
        <is>
          <t>Business to government. Agreements with public bodies, education authorities, or international organisations that cover many schools at once.</t>
        </is>
      </c>
    </row>
    <row r="29" ht="18" customHeight="1">
      <c r="A29" s="1" t="n"/>
      <c r="B29" s="13" t="inlineStr">
        <is>
          <t>CAC</t>
        </is>
      </c>
      <c r="C29" s="14" t="inlineStr">
        <is>
          <t>School Acquisition Cost. What it costs, on average, to sign up one new school.</t>
        </is>
      </c>
    </row>
    <row r="30" ht="18" customHeight="1">
      <c r="A30" s="1" t="n"/>
      <c r="B30" s="13" t="inlineStr">
        <is>
          <t>Churn</t>
        </is>
      </c>
      <c r="C30" s="14" t="inlineStr">
        <is>
          <t>The share of schools (or subscribers) that cancel in a given year.</t>
        </is>
      </c>
    </row>
    <row r="31" ht="18" customHeight="1">
      <c r="A31" s="1" t="n"/>
      <c r="B31" s="13" t="inlineStr">
        <is>
          <t>EBITDA</t>
        </is>
      </c>
      <c r="C31" s="14" t="inlineStr">
        <is>
          <t>Operating profit before interest, tax, depreciation and amortisation. A standard measure of how profitable a business is from its core operations.</t>
        </is>
      </c>
    </row>
    <row r="32" ht="18" customHeight="1">
      <c r="A32" s="1" t="n"/>
      <c r="B32" s="13" t="inlineStr">
        <is>
          <t>Gross Margin</t>
        </is>
      </c>
      <c r="C32" s="14" t="inlineStr">
        <is>
          <t>Revenue minus the direct costs of delivering the service, expressed as a percentage of revenue.</t>
        </is>
      </c>
    </row>
    <row r="33" ht="18" customHeight="1">
      <c r="A33" s="1" t="n"/>
      <c r="B33" s="13" t="inlineStr">
        <is>
          <t>LTV</t>
        </is>
      </c>
      <c r="C33" s="14" t="inlineStr">
        <is>
          <t>Lifetime Value. Total revenue expected from one school (or subscriber) across the full length of its relationship with YUSI.</t>
        </is>
      </c>
    </row>
    <row r="34" ht="18" customHeight="1">
      <c r="A34" s="1" t="n"/>
      <c r="B34" s="13" t="inlineStr">
        <is>
          <t>NRR</t>
        </is>
      </c>
      <c r="C34" s="14" t="inlineStr">
        <is>
          <t>Net Revenue Retention. Measures whether existing schools are spending more or less than the year before. Above 100% means expansion.</t>
        </is>
      </c>
    </row>
    <row r="35" ht="18" customHeight="1">
      <c r="A35" s="1" t="n"/>
      <c r="B35" s="13" t="inlineStr">
        <is>
          <t>PD</t>
        </is>
      </c>
      <c r="C35" s="14" t="inlineStr">
        <is>
          <t>Professional Development. Paid workshops and training sessions for teachers, delivered by YUSI.</t>
        </is>
      </c>
    </row>
    <row r="36" ht="18" customHeight="1">
      <c r="A36" s="1" t="n"/>
      <c r="B36" s="13" t="inlineStr">
        <is>
          <t>Revenue Share</t>
        </is>
      </c>
      <c r="C36" s="14" t="inlineStr">
        <is>
          <t>A content licensing structure where rights holders receive a percentage of subscription revenue. Kicks in when it exceeds the per-title minimum guarantee.</t>
        </is>
      </c>
    </row>
    <row r="37" ht="18" customHeight="1">
      <c r="A37" s="1" t="n"/>
      <c r="B37" s="13" t="inlineStr">
        <is>
          <t>Seed Raise</t>
        </is>
      </c>
      <c r="C37" s="14" t="inlineStr">
        <is>
          <t>The first round of external investment. Used to fund the product, content library, and first year of school acquisition.</t>
        </is>
      </c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</row>
  </sheetData>
  <mergeCells count="14">
    <mergeCell ref="C33:H33"/>
    <mergeCell ref="C25:H25"/>
    <mergeCell ref="C32:H32"/>
    <mergeCell ref="C24:H24"/>
    <mergeCell ref="C36:H36"/>
    <mergeCell ref="C28:H28"/>
    <mergeCell ref="C27:H27"/>
    <mergeCell ref="C37:H37"/>
    <mergeCell ref="C31:H31"/>
    <mergeCell ref="C35:H35"/>
    <mergeCell ref="C26:H26"/>
    <mergeCell ref="C29:H29"/>
    <mergeCell ref="C30:H30"/>
    <mergeCell ref="C34:H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8872A"/>
    <outlinePr summaryBelow="1" summaryRight="1"/>
    <pageSetUpPr/>
  </sheetPr>
  <dimension ref="A1:H130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PLATFORM CONFIGURATION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What stops teachers from using film is not motivation but infrastructure. These inputs shape everything.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PLATFORM IDENTITY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Parameter</t>
        </is>
      </c>
      <c r="B5" s="18" t="inlineStr"/>
      <c r="C5" s="18" t="inlineStr"/>
      <c r="D5" s="18" t="inlineStr"/>
      <c r="E5" s="18" t="inlineStr"/>
      <c r="F5" s="18" t="inlineStr"/>
      <c r="G5" s="1" t="n"/>
      <c r="H5" s="18" t="inlineStr">
        <is>
          <t>Description</t>
        </is>
      </c>
    </row>
    <row r="6">
      <c r="A6" s="19" t="inlineStr">
        <is>
          <t>Platform name</t>
        </is>
      </c>
      <c r="B6" s="20" t="inlineStr">
        <is>
          <t>YUSI</t>
        </is>
      </c>
      <c r="H6" s="21" t="inlineStr">
        <is>
          <t>Cinema-integrated education platform for schools.</t>
        </is>
      </c>
    </row>
    <row r="7">
      <c r="A7" s="19" t="inlineStr">
        <is>
          <t>Content vertical</t>
        </is>
      </c>
      <c r="B7" s="20" t="inlineStr">
        <is>
          <t>World cinema for schools (short films)</t>
        </is>
      </c>
      <c r="H7" s="21" t="inlineStr">
        <is>
          <t>Curated short films, each paired with a complete, curriculum-aligned lesson package.</t>
        </is>
      </c>
    </row>
    <row r="8">
      <c r="A8" s="19" t="inlineStr">
        <is>
          <t>Primary currency</t>
        </is>
      </c>
      <c r="B8" s="20" t="inlineStr">
        <is>
          <t>USD</t>
        </is>
      </c>
      <c r="H8" s="21" t="inlineStr">
        <is>
          <t>All model outputs in USD.</t>
        </is>
      </c>
    </row>
    <row r="9">
      <c r="A9" s="19" t="inlineStr">
        <is>
          <t>Model horizon (years)</t>
        </is>
      </c>
      <c r="B9" s="20" t="inlineStr">
        <is>
          <t>5</t>
        </is>
      </c>
      <c r="H9" s="21" t="inlineStr">
        <is>
          <t>Projection horizon.</t>
        </is>
      </c>
    </row>
    <row r="10">
      <c r="A10" s="19" t="inlineStr">
        <is>
          <t>Founder</t>
        </is>
      </c>
      <c r="B10" s="20" t="inlineStr">
        <is>
          <t>Aya Al Blouchi</t>
        </is>
      </c>
      <c r="H10" s="21" t="inlineStr">
        <is>
          <t>Founder and Chief Education Officer.</t>
        </is>
      </c>
    </row>
    <row r="11"/>
    <row r="12"/>
    <row r="13"/>
    <row r="14"/>
    <row r="15"/>
    <row r="16"/>
    <row r="17"/>
    <row r="18"/>
    <row r="19"/>
    <row r="20">
      <c r="A20" s="16" t="inlineStr">
        <is>
          <t>3 - SCHOOL PRICING TIERS</t>
        </is>
      </c>
      <c r="B20" s="17" t="n"/>
      <c r="C20" s="17" t="n"/>
      <c r="D20" s="17" t="n"/>
      <c r="E20" s="17" t="n"/>
      <c r="F20" s="17" t="n"/>
      <c r="G20" s="17" t="n"/>
      <c r="H20" s="17" t="n"/>
    </row>
    <row r="21">
      <c r="A21" s="18" t="inlineStr">
        <is>
          <t>Tier</t>
        </is>
      </c>
      <c r="B21" s="18" t="inlineStr">
        <is>
          <t>Year 1</t>
        </is>
      </c>
      <c r="C21" s="18" t="inlineStr">
        <is>
          <t>Year 2</t>
        </is>
      </c>
      <c r="D21" s="18" t="inlineStr">
        <is>
          <t>Year 3</t>
        </is>
      </c>
      <c r="E21" s="18" t="inlineStr">
        <is>
          <t>Year 4</t>
        </is>
      </c>
      <c r="F21" s="18" t="inlineStr">
        <is>
          <t>Year 5</t>
        </is>
      </c>
      <c r="G21" s="1" t="n"/>
      <c r="H21" s="18" t="inlineStr">
        <is>
          <t>Annual license fee by enrollment bracket</t>
        </is>
      </c>
    </row>
    <row r="22">
      <c r="A22" s="19" t="inlineStr">
        <is>
          <t>Tier S - Small (&lt;200 students)</t>
        </is>
      </c>
      <c r="B22" s="22" t="n">
        <v>3000</v>
      </c>
      <c r="C22" s="22" t="n">
        <v>3000</v>
      </c>
      <c r="D22" s="22" t="n">
        <v>3000</v>
      </c>
      <c r="E22" s="22" t="n">
        <v>3150</v>
      </c>
      <c r="F22" s="22" t="n">
        <v>3150</v>
      </c>
      <c r="H22" s="21" t="inlineStr">
        <is>
          <t>Comparable to ed-tech platform subscriptions.</t>
        </is>
      </c>
    </row>
    <row r="23">
      <c r="A23" s="19" t="inlineStr">
        <is>
          <t>Tier M - Medium (200-500)</t>
        </is>
      </c>
      <c r="B23" s="22" t="n">
        <v>5000</v>
      </c>
      <c r="C23" s="22" t="n">
        <v>5000</v>
      </c>
      <c r="D23" s="22" t="n">
        <v>5000</v>
      </c>
      <c r="E23" s="22" t="n">
        <v>5250</v>
      </c>
      <c r="F23" s="22" t="n">
        <v>5250</v>
      </c>
      <c r="H23" s="21" t="inlineStr">
        <is>
          <t>Most common tier in GCC international schools.</t>
        </is>
      </c>
    </row>
    <row r="24">
      <c r="A24" s="19" t="inlineStr">
        <is>
          <t>Tier L - Large (500-1,000)</t>
        </is>
      </c>
      <c r="B24" s="22" t="n">
        <v>7000</v>
      </c>
      <c r="C24" s="22" t="n">
        <v>7000</v>
      </c>
      <c r="D24" s="22" t="n">
        <v>7000</v>
      </c>
      <c r="E24" s="22" t="n">
        <v>7350</v>
      </c>
      <c r="F24" s="22" t="n">
        <v>7350</v>
      </c>
      <c r="H24" s="21" t="inlineStr">
        <is>
          <t>Includes full teacher access + PD credits.</t>
        </is>
      </c>
    </row>
    <row r="25">
      <c r="A25" s="19" t="inlineStr">
        <is>
          <t>Tier XL - Extra Large (1,000+)</t>
        </is>
      </c>
      <c r="B25" s="22" t="n">
        <v>8000</v>
      </c>
      <c r="C25" s="22" t="n">
        <v>8000</v>
      </c>
      <c r="D25" s="22" t="n">
        <v>8000</v>
      </c>
      <c r="E25" s="22" t="n">
        <v>8400</v>
      </c>
      <c r="F25" s="22" t="n">
        <v>8400</v>
      </c>
      <c r="H25" s="21" t="inlineStr">
        <is>
          <t>Campus-wide tier with dedicated support.</t>
        </is>
      </c>
    </row>
    <row r="26">
      <c r="A26" s="19" t="inlineStr">
        <is>
          <t>Pilot discount rate</t>
        </is>
      </c>
      <c r="B26" s="23" t="n">
        <v>0.5</v>
      </c>
      <c r="C26" s="23" t="n">
        <v>0</v>
      </c>
      <c r="D26" s="23" t="n">
        <v>0</v>
      </c>
      <c r="E26" s="23" t="n">
        <v>0</v>
      </c>
      <c r="F26" s="23" t="n">
        <v>0</v>
      </c>
      <c r="H26" s="21" t="inlineStr">
        <is>
          <t>Y1 schools on 50% introductory discount. Full price from Y2.</t>
        </is>
      </c>
    </row>
    <row r="27"/>
    <row r="28">
      <c r="A28" s="16" t="inlineStr">
        <is>
          <t>4 - SCHOOL TIER MIX</t>
        </is>
      </c>
      <c r="B28" s="17" t="n"/>
      <c r="C28" s="17" t="n"/>
      <c r="D28" s="17" t="n"/>
      <c r="E28" s="17" t="n"/>
      <c r="F28" s="17" t="n"/>
      <c r="G28" s="17" t="n"/>
      <c r="H28" s="17" t="n"/>
    </row>
    <row r="29">
      <c r="A29" s="18" t="inlineStr">
        <is>
          <t>Tier share</t>
        </is>
      </c>
      <c r="B29" s="18" t="inlineStr">
        <is>
          <t>Year 1</t>
        </is>
      </c>
      <c r="C29" s="18" t="inlineStr">
        <is>
          <t>Year 2</t>
        </is>
      </c>
      <c r="D29" s="18" t="inlineStr">
        <is>
          <t>Year 3</t>
        </is>
      </c>
      <c r="E29" s="18" t="inlineStr">
        <is>
          <t>Year 4</t>
        </is>
      </c>
      <c r="F29" s="18" t="inlineStr">
        <is>
          <t>Year 5</t>
        </is>
      </c>
      <c r="G29" s="1" t="n"/>
      <c r="H29" s="18" t="inlineStr">
        <is>
          <t>Distribution of schools across enrollment tiers</t>
        </is>
      </c>
    </row>
    <row r="30">
      <c r="A30" s="19" t="inlineStr">
        <is>
          <t>% Small</t>
        </is>
      </c>
      <c r="B30" s="23" t="n">
        <v>0.2</v>
      </c>
      <c r="C30" s="23" t="n">
        <v>0.2</v>
      </c>
      <c r="D30" s="23" t="n">
        <v>0.15</v>
      </c>
      <c r="E30" s="23" t="n">
        <v>0.15</v>
      </c>
      <c r="F30" s="23" t="n">
        <v>0.1</v>
      </c>
      <c r="H30" s="21" t="inlineStr">
        <is>
          <t>Share decreases as brand attracts larger schools.</t>
        </is>
      </c>
    </row>
    <row r="31">
      <c r="A31" s="19" t="inlineStr">
        <is>
          <t>% Medium</t>
        </is>
      </c>
      <c r="B31" s="23" t="n">
        <v>0.4</v>
      </c>
      <c r="C31" s="23" t="n">
        <v>0.4</v>
      </c>
      <c r="D31" s="23" t="n">
        <v>0.35</v>
      </c>
      <c r="E31" s="23" t="n">
        <v>0.35</v>
      </c>
      <c r="F31" s="23" t="n">
        <v>0.35</v>
      </c>
      <c r="H31" s="21" t="inlineStr">
        <is>
          <t>Dominant tier in most markets.</t>
        </is>
      </c>
    </row>
    <row r="32">
      <c r="A32" s="19" t="inlineStr">
        <is>
          <t>% Large</t>
        </is>
      </c>
      <c r="B32" s="23" t="n">
        <v>0.3</v>
      </c>
      <c r="C32" s="23" t="n">
        <v>0.3</v>
      </c>
      <c r="D32" s="23" t="n">
        <v>0.35</v>
      </c>
      <c r="E32" s="23" t="n">
        <v>0.35</v>
      </c>
      <c r="F32" s="23" t="n">
        <v>0.35</v>
      </c>
      <c r="H32" s="21" t="inlineStr">
        <is>
          <t>Growing with international expansion.</t>
        </is>
      </c>
    </row>
    <row r="33">
      <c r="A33" s="19" t="inlineStr">
        <is>
          <t>% XL</t>
        </is>
      </c>
      <c r="B33" s="23" t="n">
        <v>0.1</v>
      </c>
      <c r="C33" s="23" t="n">
        <v>0.1</v>
      </c>
      <c r="D33" s="23" t="n">
        <v>0.15</v>
      </c>
      <c r="E33" s="23" t="n">
        <v>0.15</v>
      </c>
      <c r="F33" s="23" t="n">
        <v>0.2</v>
      </c>
      <c r="H33" s="21" t="inlineStr">
        <is>
          <t>Increases with institutional partnerships.</t>
        </is>
      </c>
    </row>
    <row r="34">
      <c r="A34" s="19" t="inlineStr">
        <is>
          <t>Mix validation (must equal 100%)</t>
        </is>
      </c>
      <c r="B34" s="24">
        <f>SUM(B30:B33)</f>
        <v/>
      </c>
      <c r="C34" s="24">
        <f>SUM(C30:C33)</f>
        <v/>
      </c>
      <c r="D34" s="24">
        <f>SUM(D30:D33)</f>
        <v/>
      </c>
      <c r="E34" s="24">
        <f>SUM(E30:E33)</f>
        <v/>
      </c>
      <c r="F34" s="24">
        <f>SUM(F30:F33)</f>
        <v/>
      </c>
      <c r="H34" s="21" t="inlineStr">
        <is>
          <t>Should be 100% in every year.</t>
        </is>
      </c>
    </row>
    <row r="35">
      <c r="A35" s="19" t="inlineStr">
        <is>
          <t>Blended annual price per school</t>
        </is>
      </c>
      <c r="B35" s="25">
        <f>B22*B30+B23*B31+B24*B32+B25*B33</f>
        <v/>
      </c>
      <c r="C35" s="25">
        <f>C22*C30+C23*C31+C24*C32+C25*C33</f>
        <v/>
      </c>
      <c r="D35" s="25">
        <f>D22*D30+D23*D31+D24*D32+D25*D33</f>
        <v/>
      </c>
      <c r="E35" s="25">
        <f>E22*E30+E23*E31+E24*E32+E25*E33</f>
        <v/>
      </c>
      <c r="F35" s="25">
        <f>F22*F30+F23*F31+F24*F32+F25*F33</f>
        <v/>
      </c>
      <c r="H35" s="21" t="inlineStr">
        <is>
          <t>Weighted average across tiers.</t>
        </is>
      </c>
    </row>
    <row r="36"/>
    <row r="37">
      <c r="A37" s="16" t="inlineStr">
        <is>
          <t>5 - SCHOOL SALES &amp; RETENTION</t>
        </is>
      </c>
      <c r="B37" s="17" t="n"/>
      <c r="C37" s="17" t="n"/>
      <c r="D37" s="17" t="n"/>
      <c r="E37" s="17" t="n"/>
      <c r="F37" s="17" t="n"/>
      <c r="G37" s="17" t="n"/>
      <c r="H37" s="17" t="n"/>
    </row>
    <row r="38">
      <c r="A38" s="18" t="inlineStr">
        <is>
          <t>Metric</t>
        </is>
      </c>
      <c r="B38" s="18" t="inlineStr">
        <is>
          <t>Year 1</t>
        </is>
      </c>
      <c r="C38" s="18" t="inlineStr">
        <is>
          <t>Year 2</t>
        </is>
      </c>
      <c r="D38" s="18" t="inlineStr">
        <is>
          <t>Year 3</t>
        </is>
      </c>
      <c r="E38" s="18" t="inlineStr">
        <is>
          <t>Year 4</t>
        </is>
      </c>
      <c r="F38" s="18" t="inlineStr">
        <is>
          <t>Year 5</t>
        </is>
      </c>
      <c r="G38" s="1" t="n"/>
      <c r="H38" s="18" t="inlineStr">
        <is>
          <t>Notes</t>
        </is>
      </c>
    </row>
    <row r="39">
      <c r="A39" s="19" t="inlineStr">
        <is>
          <t>End-of-year active schools (direct B2B)</t>
        </is>
      </c>
      <c r="B39" s="26" t="n">
        <v>20</v>
      </c>
      <c r="C39" s="26" t="n">
        <v>75</v>
      </c>
      <c r="D39" s="26" t="n">
        <v>200</v>
      </c>
      <c r="E39" s="26" t="n">
        <v>350</v>
      </c>
      <c r="F39" s="26" t="n">
        <v>500</v>
      </c>
      <c r="H39" s="21" t="inlineStr">
        <is>
          <t>Paid acquisition only. Y1: founder network pilots. Y2-Y5: sales-driven growth. Consumer (B2C) revenue modelled separately.</t>
        </is>
      </c>
    </row>
    <row r="40">
      <c r="A40" s="19" t="inlineStr">
        <is>
          <t>Annual school churn rate</t>
        </is>
      </c>
      <c r="B40" s="23" t="n">
        <v>0.15</v>
      </c>
      <c r="C40" s="23" t="n">
        <v>0.1</v>
      </c>
      <c r="D40" s="23" t="n">
        <v>0.1</v>
      </c>
      <c r="E40" s="23" t="n">
        <v>0.1</v>
      </c>
      <c r="F40" s="23" t="n">
        <v>0.12</v>
      </c>
      <c r="H40" s="21" t="inlineStr">
        <is>
          <t>Y1: 15% pilot churn (expected in validation year). Y5: slight uptick from international expansion. Benchmark: 8-12% (Holoniq).</t>
        </is>
      </c>
    </row>
    <row r="41">
      <c r="A41" s="19" t="inlineStr">
        <is>
          <t>School CAC (per school)</t>
        </is>
      </c>
      <c r="B41" s="22" t="n">
        <v>2000</v>
      </c>
      <c r="C41" s="22" t="n">
        <v>3000</v>
      </c>
      <c r="D41" s="22" t="n">
        <v>2500</v>
      </c>
      <c r="E41" s="22" t="n">
        <v>2000</v>
      </c>
      <c r="F41" s="22" t="n">
        <v>1800</v>
      </c>
      <c r="H41" s="21" t="inlineStr">
        <is>
          <t>Ed sales cycles: $1,500-$5,000 (HolonIQ range).</t>
        </is>
      </c>
    </row>
    <row r="42">
      <c r="A42" s="19" t="inlineStr">
        <is>
          <t>Organic / referral rate</t>
        </is>
      </c>
      <c r="B42" s="23" t="n">
        <v>0</v>
      </c>
      <c r="C42" s="23" t="n">
        <v>0</v>
      </c>
      <c r="D42" s="23" t="n">
        <v>0.15</v>
      </c>
      <c r="E42" s="23" t="n">
        <v>0.15</v>
      </c>
      <c r="F42" s="23" t="n">
        <v>0.2</v>
      </c>
      <c r="H42" s="21" t="inlineStr">
        <is>
          <t>Teacher word-of-mouth referrals begin Y3 as product embeds in school culture. Reduces effective paid CAC.</t>
        </is>
      </c>
    </row>
    <row r="43">
      <c r="A43" s="19" t="inlineStr">
        <is>
          <t>Renewal price uplift (annual)</t>
        </is>
      </c>
      <c r="B43" s="23" t="n">
        <v>0</v>
      </c>
      <c r="C43" s="23" t="n">
        <v>0</v>
      </c>
      <c r="D43" s="23" t="n">
        <v>0.03</v>
      </c>
      <c r="E43" s="23" t="n">
        <v>0.05</v>
      </c>
      <c r="F43" s="23" t="n">
        <v>0.05</v>
      </c>
      <c r="H43" s="21" t="inlineStr">
        <is>
          <t>Price increase on renewal. Benchmark: 3-5% for ed-tech B2B.</t>
        </is>
      </c>
    </row>
    <row r="44"/>
    <row r="45">
      <c r="A45" s="16" t="inlineStr">
        <is>
          <t>6 - INSTITUTIONAL PARTNERSHIPS</t>
        </is>
      </c>
      <c r="B45" s="17" t="n"/>
      <c r="C45" s="17" t="n"/>
      <c r="D45" s="17" t="n"/>
      <c r="E45" s="17" t="n"/>
      <c r="F45" s="17" t="n"/>
      <c r="G45" s="17" t="n"/>
      <c r="H45" s="17" t="n"/>
    </row>
    <row r="46">
      <c r="A46" s="18" t="inlineStr">
        <is>
          <t>Metric</t>
        </is>
      </c>
      <c r="B46" s="18" t="inlineStr">
        <is>
          <t>Year 1</t>
        </is>
      </c>
      <c r="C46" s="18" t="inlineStr">
        <is>
          <t>Year 2</t>
        </is>
      </c>
      <c r="D46" s="18" t="inlineStr">
        <is>
          <t>Year 3</t>
        </is>
      </c>
      <c r="E46" s="18" t="inlineStr">
        <is>
          <t>Year 4</t>
        </is>
      </c>
      <c r="F46" s="18" t="inlineStr">
        <is>
          <t>Year 5</t>
        </is>
      </c>
      <c r="G46" s="1" t="n"/>
      <c r="H46" s="18" t="inlineStr">
        <is>
          <t>Notes</t>
        </is>
      </c>
    </row>
    <row r="47">
      <c r="A47" s="19" t="inlineStr">
        <is>
          <t>Active institutional agreements (cumulative, EoY)</t>
        </is>
      </c>
      <c r="B47" s="26" t="n">
        <v>0</v>
      </c>
      <c r="C47" s="26" t="n">
        <v>0</v>
      </c>
      <c r="D47" s="26" t="n">
        <v>1</v>
      </c>
      <c r="E47" s="26" t="n">
        <v>2</v>
      </c>
      <c r="F47" s="26" t="n">
        <v>3</v>
      </c>
      <c r="H47" s="21" t="inlineStr">
        <is>
          <t>Y3: single pilot (20 schools). Y4-Y5: expansion and new partners.</t>
        </is>
      </c>
    </row>
    <row r="48">
      <c r="A48" s="19" t="inlineStr">
        <is>
          <t>Average schools per agreement</t>
        </is>
      </c>
      <c r="B48" s="26" t="n">
        <v>0</v>
      </c>
      <c r="C48" s="26" t="n">
        <v>0</v>
      </c>
      <c r="D48" s="26" t="n">
        <v>20</v>
      </c>
      <c r="E48" s="26" t="n">
        <v>200</v>
      </c>
      <c r="F48" s="26" t="n">
        <v>300</v>
      </c>
      <c r="H48" s="21" t="inlineStr">
        <is>
          <t>Y3 pilot: 20 schools at deep discount. Grows as adoption deepens.</t>
        </is>
      </c>
    </row>
    <row r="49">
      <c r="A49" s="19" t="inlineStr">
        <is>
          <t>Institutional discount vs direct</t>
        </is>
      </c>
      <c r="B49" s="23" t="n">
        <v>0.3</v>
      </c>
      <c r="C49" s="23" t="n">
        <v>0.3</v>
      </c>
      <c r="D49" s="23" t="n">
        <v>0.3</v>
      </c>
      <c r="E49" s="23" t="n">
        <v>0.3</v>
      </c>
      <c r="F49" s="23" t="n">
        <v>0.3</v>
      </c>
      <c r="H49" s="21" t="inlineStr">
        <is>
          <t>Benchmark: public sector bulk discount 20-40%.</t>
        </is>
      </c>
    </row>
    <row r="50"/>
    <row r="51"/>
    <row r="52">
      <c r="A52" s="16" t="inlineStr">
        <is>
          <t>7 - CONTENT LIBRARY</t>
        </is>
      </c>
      <c r="B52" s="17" t="n"/>
      <c r="C52" s="17" t="n"/>
      <c r="D52" s="17" t="n"/>
      <c r="E52" s="17" t="n"/>
      <c r="F52" s="17" t="n"/>
      <c r="G52" s="17" t="n"/>
      <c r="H52" s="17" t="n"/>
    </row>
    <row r="53">
      <c r="A53" s="18" t="inlineStr">
        <is>
          <t>Metric</t>
        </is>
      </c>
      <c r="B53" s="18" t="inlineStr">
        <is>
          <t>Year 1</t>
        </is>
      </c>
      <c r="C53" s="18" t="inlineStr">
        <is>
          <t>Year 2</t>
        </is>
      </c>
      <c r="D53" s="18" t="inlineStr">
        <is>
          <t>Year 3</t>
        </is>
      </c>
      <c r="E53" s="18" t="inlineStr">
        <is>
          <t>Year 4</t>
        </is>
      </c>
      <c r="F53" s="18" t="inlineStr">
        <is>
          <t>Year 5</t>
        </is>
      </c>
      <c r="G53" s="1" t="n"/>
      <c r="H53" s="18" t="inlineStr">
        <is>
          <t>Notes</t>
        </is>
      </c>
    </row>
    <row r="54">
      <c r="A54" s="19" t="inlineStr">
        <is>
          <t>Titles in active rotation</t>
        </is>
      </c>
      <c r="B54" s="26" t="n">
        <v>40</v>
      </c>
      <c r="C54" s="26" t="n">
        <v>60</v>
      </c>
      <c r="D54" s="26" t="n">
        <v>90</v>
      </c>
      <c r="E54" s="26" t="n">
        <v>130</v>
      </c>
      <c r="F54" s="26" t="n">
        <v>180</v>
      </c>
      <c r="H54" s="21" t="inlineStr">
        <is>
          <t>Total curated films available on platform each year.</t>
        </is>
      </c>
    </row>
    <row r="55">
      <c r="A55" s="19" t="inlineStr">
        <is>
          <t>New films added per year</t>
        </is>
      </c>
      <c r="B55" s="26" t="n">
        <v>10</v>
      </c>
      <c r="C55" s="26" t="n">
        <v>20</v>
      </c>
      <c r="D55" s="26" t="n">
        <v>30</v>
      </c>
      <c r="E55" s="26" t="n">
        <v>40</v>
      </c>
      <c r="F55" s="26" t="n">
        <v>50</v>
      </c>
      <c r="H55" s="21" t="inlineStr">
        <is>
          <t>Curation pipeline: festivals, submissions, commissions.</t>
        </is>
      </c>
    </row>
    <row r="56">
      <c r="A56" s="19" t="inlineStr">
        <is>
          <t>License cost per film per year (minimum)</t>
        </is>
      </c>
      <c r="B56" s="22" t="n">
        <v>500</v>
      </c>
      <c r="C56" s="22" t="n">
        <v>500</v>
      </c>
      <c r="D56" s="22" t="n">
        <v>600</v>
      </c>
      <c r="E56" s="22" t="n">
        <v>700</v>
      </c>
      <c r="F56" s="22" t="n">
        <v>800</v>
      </c>
      <c r="H56" s="21" t="inlineStr">
        <is>
          <t>3-year lock with step-up at renewal. Floor in MAX(per-title, rev share).</t>
        </is>
      </c>
    </row>
    <row r="57">
      <c r="A57" s="19" t="inlineStr">
        <is>
          <t>Teacher guide production per film (one-time)</t>
        </is>
      </c>
      <c r="B57" s="22" t="n">
        <v>200</v>
      </c>
      <c r="C57" s="22" t="n">
        <v>200</v>
      </c>
      <c r="D57" s="22" t="n">
        <v>200</v>
      </c>
      <c r="E57" s="22" t="n">
        <v>200</v>
      </c>
      <c r="F57" s="22" t="n">
        <v>200</v>
      </c>
      <c r="H57" s="21" t="inlineStr">
        <is>
          <t>Curriculum-aligned guide + reflection prompts.</t>
        </is>
      </c>
    </row>
    <row r="58">
      <c r="A58" s="19" t="inlineStr">
        <is>
          <t>Film curation &amp; QA per film (one-time)</t>
        </is>
      </c>
      <c r="B58" s="22" t="n">
        <v>100</v>
      </c>
      <c r="C58" s="22" t="n">
        <v>100</v>
      </c>
      <c r="D58" s="22" t="n">
        <v>100</v>
      </c>
      <c r="E58" s="22" t="n">
        <v>100</v>
      </c>
      <c r="F58" s="22" t="n">
        <v>100</v>
      </c>
      <c r="H58" s="21" t="inlineStr">
        <is>
          <t>Metadata, subtitles, pedagogical tagging.</t>
        </is>
      </c>
    </row>
    <row r="59">
      <c r="A59" s="19" t="inlineStr">
        <is>
          <t>Total titles (reference)</t>
        </is>
      </c>
      <c r="B59" s="27">
        <f>B54</f>
        <v/>
      </c>
      <c r="C59" s="27">
        <f>C54</f>
        <v/>
      </c>
      <c r="D59" s="27">
        <f>D54</f>
        <v/>
      </c>
      <c r="E59" s="27">
        <f>E54</f>
        <v/>
      </c>
      <c r="F59" s="27">
        <f>F54</f>
        <v/>
      </c>
      <c r="H59" s="21" t="inlineStr">
        <is>
          <t>Mirrors row 54 — total titles in active rotation.</t>
        </is>
      </c>
    </row>
    <row r="60">
      <c r="A60" s="19" t="inlineStr">
        <is>
          <t>Content revenue share (% of sub revenue)</t>
        </is>
      </c>
      <c r="B60" s="23" t="n">
        <v>0.12</v>
      </c>
      <c r="C60" s="23" t="n">
        <v>0.12</v>
      </c>
      <c r="D60" s="23" t="n">
        <v>0.12</v>
      </c>
      <c r="E60" s="23" t="n">
        <v>0.12</v>
      </c>
      <c r="F60" s="23" t="n">
        <v>0.12</v>
      </c>
      <c r="H60" s="21" t="inlineStr">
        <is>
          <t>Applied when it exceeds per-title minimum. Standard content licensing structure.</t>
        </is>
      </c>
    </row>
    <row r="61">
      <c r="A61" s="16" t="inlineStr">
        <is>
          <t>8 - PLATFORM &amp; DELIVERY COSTS</t>
        </is>
      </c>
      <c r="B61" s="17" t="n"/>
      <c r="C61" s="17" t="n"/>
      <c r="D61" s="17" t="n"/>
      <c r="E61" s="17" t="n"/>
      <c r="F61" s="17" t="n"/>
      <c r="G61" s="17" t="n"/>
      <c r="H61" s="17" t="n"/>
    </row>
    <row r="62">
      <c r="A62" s="18" t="inlineStr">
        <is>
          <t>Driver</t>
        </is>
      </c>
      <c r="B62" s="18" t="inlineStr">
        <is>
          <t>Year 1</t>
        </is>
      </c>
      <c r="C62" s="18" t="inlineStr">
        <is>
          <t>Year 2</t>
        </is>
      </c>
      <c r="D62" s="18" t="inlineStr">
        <is>
          <t>Year 3</t>
        </is>
      </c>
      <c r="E62" s="18" t="inlineStr">
        <is>
          <t>Year 4</t>
        </is>
      </c>
      <c r="F62" s="18" t="inlineStr">
        <is>
          <t>Year 5</t>
        </is>
      </c>
      <c r="G62" s="1" t="n"/>
      <c r="H62" s="18" t="inlineStr">
        <is>
          <t>Per-school variable costs for platform delivery</t>
        </is>
      </c>
    </row>
    <row r="63">
      <c r="A63" s="19" t="inlineStr">
        <is>
          <t>Hosting base ($/year)</t>
        </is>
      </c>
      <c r="B63" s="22" t="n">
        <v>6000</v>
      </c>
      <c r="C63" s="22" t="n">
        <v>12000</v>
      </c>
      <c r="D63" s="22" t="n">
        <v>24000</v>
      </c>
      <c r="E63" s="22" t="n">
        <v>36000</v>
      </c>
      <c r="F63" s="22" t="n">
        <v>48000</v>
      </c>
      <c r="H63" s="21" t="inlineStr">
        <is>
          <t>Cloud, CDN, database, storage. Lower than consumer streaming.</t>
        </is>
      </c>
    </row>
    <row r="64">
      <c r="A64" s="19" t="inlineStr">
        <is>
          <t>Per-school hosting variable ($/school/year)</t>
        </is>
      </c>
      <c r="B64" s="22" t="n">
        <v>100</v>
      </c>
      <c r="C64" s="22" t="n">
        <v>80</v>
      </c>
      <c r="D64" s="22" t="n">
        <v>60</v>
      </c>
      <c r="E64" s="22" t="n">
        <v>50</v>
      </c>
      <c r="F64" s="22" t="n">
        <v>40</v>
      </c>
      <c r="H64" s="21" t="inlineStr">
        <is>
          <t>Bandwidth + storage. Decreasing with scale.</t>
        </is>
      </c>
    </row>
    <row r="65">
      <c r="A65" s="19" t="inlineStr">
        <is>
          <t>School support per school ($/year)</t>
        </is>
      </c>
      <c r="B65" s="22" t="n">
        <v>150</v>
      </c>
      <c r="C65" s="22" t="n">
        <v>120</v>
      </c>
      <c r="D65" s="22" t="n">
        <v>100</v>
      </c>
      <c r="E65" s="22" t="n">
        <v>80</v>
      </c>
      <c r="F65" s="22" t="n">
        <v>60</v>
      </c>
      <c r="H65" s="21" t="inlineStr">
        <is>
          <t>Helpdesk, onboarding, teacher training.</t>
        </is>
      </c>
    </row>
    <row r="66">
      <c r="A66" s="19" t="inlineStr">
        <is>
          <t>Content delivery per school ($/year)</t>
        </is>
      </c>
      <c r="B66" s="22" t="n">
        <v>50</v>
      </c>
      <c r="C66" s="22" t="n">
        <v>40</v>
      </c>
      <c r="D66" s="22" t="n">
        <v>35</v>
      </c>
      <c r="E66" s="22" t="n">
        <v>30</v>
      </c>
      <c r="F66" s="22" t="n">
        <v>25</v>
      </c>
      <c r="H66" s="21" t="inlineStr">
        <is>
          <t>Video streaming CDN costs allocated per school.</t>
        </is>
      </c>
    </row>
    <row r="67">
      <c r="A67" s="19" t="inlineStr">
        <is>
          <t>Curriculum operations per school ($/year)</t>
        </is>
      </c>
      <c r="B67" s="22" t="n">
        <v>300</v>
      </c>
      <c r="C67" s="22" t="n">
        <v>280</v>
      </c>
      <c r="D67" s="22" t="n">
        <v>250</v>
      </c>
      <c r="E67" s="22" t="n">
        <v>220</v>
      </c>
      <c r="F67" s="22" t="n">
        <v>200</v>
      </c>
      <c r="H67" s="21" t="inlineStr">
        <is>
          <t>Ongoing curriculum alignment, guide updates, assessment creation. Decreases with scale.</t>
        </is>
      </c>
    </row>
    <row r="68">
      <c r="A68" s="16" t="inlineStr">
        <is>
          <t>9 - TEAM &amp; OVERHEAD</t>
        </is>
      </c>
      <c r="B68" s="17" t="n"/>
      <c r="C68" s="17" t="n"/>
      <c r="D68" s="17" t="n"/>
      <c r="E68" s="17" t="n"/>
      <c r="F68" s="17" t="n"/>
      <c r="G68" s="17" t="n"/>
      <c r="H68" s="17" t="n"/>
    </row>
    <row r="69">
      <c r="A69" s="18" t="inlineStr">
        <is>
          <t>Driver</t>
        </is>
      </c>
      <c r="B69" s="18" t="inlineStr">
        <is>
          <t>Year 1</t>
        </is>
      </c>
      <c r="C69" s="18" t="inlineStr">
        <is>
          <t>Year 2</t>
        </is>
      </c>
      <c r="D69" s="18" t="inlineStr">
        <is>
          <t>Year 3</t>
        </is>
      </c>
      <c r="E69" s="18" t="inlineStr">
        <is>
          <t>Year 4</t>
        </is>
      </c>
      <c r="F69" s="18" t="inlineStr">
        <is>
          <t>Year 5</t>
        </is>
      </c>
      <c r="G69" s="1" t="n"/>
      <c r="H69" s="18" t="inlineStr">
        <is>
          <t>Fully loaded costs including benefits</t>
        </is>
      </c>
    </row>
    <row r="70">
      <c r="A70" s="19" t="inlineStr">
        <is>
          <t>Total team cost (salaries + benefits)</t>
        </is>
      </c>
      <c r="B70" s="22" t="n">
        <v>90000</v>
      </c>
      <c r="C70" s="22" t="n">
        <v>215000</v>
      </c>
      <c r="D70" s="22" t="n">
        <v>430000</v>
      </c>
      <c r="E70" s="22" t="n">
        <v>720000</v>
      </c>
      <c r="F70" s="22" t="n">
        <v>1050000</v>
      </c>
      <c r="H70" s="21" t="inlineStr">
        <is>
          <t>Fully loaded. Includes founder draw, core team, and fractional/consultant costs.</t>
        </is>
      </c>
    </row>
    <row r="71">
      <c r="A71" s="19" t="inlineStr">
        <is>
          <t>Headcount (memo, not a formula driver)</t>
        </is>
      </c>
      <c r="B71" s="26" t="n">
        <v>2</v>
      </c>
      <c r="C71" s="26" t="n">
        <v>4</v>
      </c>
      <c r="D71" s="26" t="n">
        <v>7</v>
      </c>
      <c r="E71" s="26" t="n">
        <v>10</v>
      </c>
      <c r="F71" s="26" t="n">
        <v>14</v>
      </c>
      <c r="H71" s="21" t="inlineStr">
        <is>
          <t>Includes founder (Y1 onwards). Fractional consultants counted as ~0.5 FTE.</t>
        </is>
      </c>
    </row>
    <row r="72">
      <c r="A72" s="19" t="inlineStr">
        <is>
          <t>Travel &amp; conferences</t>
        </is>
      </c>
      <c r="B72" s="22" t="n">
        <v>28000</v>
      </c>
      <c r="C72" s="22" t="n">
        <v>36000</v>
      </c>
      <c r="D72" s="22" t="n">
        <v>44000</v>
      </c>
      <c r="E72" s="22" t="n">
        <v>54000</v>
      </c>
      <c r="F72" s="22" t="n">
        <v>65000</v>
      </c>
      <c r="H72" s="21" t="inlineStr">
        <is>
          <t>School visits, education conferences, partner meetings.</t>
        </is>
      </c>
    </row>
    <row r="73">
      <c r="A73" s="19" t="inlineStr">
        <is>
          <t>Sales &amp; marketing</t>
        </is>
      </c>
      <c r="B73" s="22" t="n">
        <v>5000</v>
      </c>
      <c r="C73" s="22" t="n">
        <v>25000</v>
      </c>
      <c r="D73" s="22" t="n">
        <v>50000</v>
      </c>
      <c r="E73" s="22" t="n">
        <v>80000</v>
      </c>
      <c r="F73" s="22" t="n">
        <v>120000</v>
      </c>
      <c r="H73" s="21" t="inlineStr">
        <is>
          <t>Digital marketing, events, demos, content creation.</t>
        </is>
      </c>
    </row>
    <row r="74">
      <c r="A74" s="19" t="inlineStr">
        <is>
          <t>Legal &amp; admin</t>
        </is>
      </c>
      <c r="B74" s="22" t="n">
        <v>20000</v>
      </c>
      <c r="C74" s="22" t="n">
        <v>22000</v>
      </c>
      <c r="D74" s="22" t="n">
        <v>25000</v>
      </c>
      <c r="E74" s="22" t="n">
        <v>30000</v>
      </c>
      <c r="F74" s="22" t="n">
        <v>35000</v>
      </c>
      <c r="H74" s="21" t="inlineStr">
        <is>
          <t>Legal, accounting, tax, compliance.</t>
        </is>
      </c>
    </row>
    <row r="75">
      <c r="A75" s="19" t="inlineStr">
        <is>
          <t>Office / co-working</t>
        </is>
      </c>
      <c r="B75" s="22" t="n">
        <v>3000</v>
      </c>
      <c r="C75" s="22" t="n">
        <v>6000</v>
      </c>
      <c r="D75" s="22" t="n">
        <v>12000</v>
      </c>
      <c r="E75" s="22" t="n">
        <v>18000</v>
      </c>
      <c r="F75" s="22" t="n">
        <v>24000</v>
      </c>
      <c r="H75" s="21" t="inlineStr">
        <is>
          <t>Co-working space scaling with team.</t>
        </is>
      </c>
    </row>
    <row r="76">
      <c r="A76" s="19" t="inlineStr">
        <is>
          <t>Tools &amp; software</t>
        </is>
      </c>
      <c r="B76" s="22" t="n">
        <v>5000</v>
      </c>
      <c r="C76" s="22" t="n">
        <v>11000</v>
      </c>
      <c r="D76" s="22" t="n">
        <v>18000</v>
      </c>
      <c r="E76" s="22" t="n">
        <v>27000</v>
      </c>
      <c r="F76" s="22" t="n">
        <v>35000</v>
      </c>
      <c r="H76" s="21" t="inlineStr">
        <is>
          <t>CRM, screening platform, analytics, curriculum tools, automation.</t>
        </is>
      </c>
    </row>
    <row r="77"/>
    <row r="78"/>
    <row r="79">
      <c r="A79" s="16" t="inlineStr">
        <is>
          <t>10 - PROFESSIONAL DEVELOPMENT</t>
        </is>
      </c>
      <c r="B79" s="17" t="n"/>
      <c r="C79" s="17" t="n"/>
      <c r="D79" s="17" t="n"/>
      <c r="E79" s="17" t="n"/>
      <c r="F79" s="17" t="n"/>
      <c r="G79" s="17" t="n"/>
      <c r="H79" s="17" t="n"/>
    </row>
    <row r="80">
      <c r="A80" s="18" t="inlineStr">
        <is>
          <t>Metric</t>
        </is>
      </c>
      <c r="B80" s="18" t="inlineStr">
        <is>
          <t>Year 1</t>
        </is>
      </c>
      <c r="C80" s="18" t="inlineStr">
        <is>
          <t>Year 2</t>
        </is>
      </c>
      <c r="D80" s="18" t="inlineStr">
        <is>
          <t>Year 3</t>
        </is>
      </c>
      <c r="E80" s="18" t="inlineStr">
        <is>
          <t>Year 4</t>
        </is>
      </c>
      <c r="F80" s="18" t="inlineStr">
        <is>
          <t>Year 5</t>
        </is>
      </c>
      <c r="G80" s="1" t="n"/>
      <c r="H80" s="18" t="inlineStr">
        <is>
          <t>Teacher training workshops and certification</t>
        </is>
      </c>
    </row>
    <row r="81">
      <c r="A81" s="19" t="inlineStr">
        <is>
          <t>PD workshops per year</t>
        </is>
      </c>
      <c r="B81" s="26" t="n">
        <v>15</v>
      </c>
      <c r="C81" s="26" t="n">
        <v>20</v>
      </c>
      <c r="D81" s="26" t="n">
        <v>50</v>
      </c>
      <c r="E81" s="26" t="n">
        <v>100</v>
      </c>
      <c r="F81" s="26" t="n">
        <v>150</v>
      </c>
      <c r="H81" s="21" t="inlineStr">
        <is>
          <t>Scales with school base. ~1 workshop per 4-8 active schools.</t>
        </is>
      </c>
    </row>
    <row r="82">
      <c r="A82" s="19" t="inlineStr">
        <is>
          <t>Price per workshop</t>
        </is>
      </c>
      <c r="B82" s="22" t="n">
        <v>800</v>
      </c>
      <c r="C82" s="22" t="n">
        <v>1000</v>
      </c>
      <c r="D82" s="22" t="n">
        <v>1000</v>
      </c>
      <c r="E82" s="22" t="n">
        <v>1000</v>
      </c>
      <c r="F82" s="22" t="n">
        <v>1000</v>
      </c>
      <c r="H82" s="21" t="inlineStr">
        <is>
          <t>Benchmark: $500-$1,500 per cohort (strategy.md).</t>
        </is>
      </c>
    </row>
    <row r="83">
      <c r="A83" s="19" t="inlineStr">
        <is>
          <t>Delivery cost per workshop</t>
        </is>
      </c>
      <c r="B83" s="22" t="n">
        <v>300</v>
      </c>
      <c r="C83" s="22" t="n">
        <v>250</v>
      </c>
      <c r="D83" s="22" t="n">
        <v>200</v>
      </c>
      <c r="E83" s="22" t="n">
        <v>180</v>
      </c>
      <c r="F83" s="22" t="n">
        <v>150</v>
      </c>
      <c r="H83" s="21" t="inlineStr">
        <is>
          <t>Facilitator, materials, venue (declining with scale).</t>
        </is>
      </c>
    </row>
    <row r="84">
      <c r="A84" s="19" t="inlineStr">
        <is>
          <t>Teachers per workshop</t>
        </is>
      </c>
      <c r="B84" s="26" t="n">
        <v>15</v>
      </c>
      <c r="C84" s="26" t="n">
        <v>15</v>
      </c>
      <c r="D84" s="26" t="n">
        <v>20</v>
      </c>
      <c r="E84" s="26" t="n">
        <v>20</v>
      </c>
      <c r="F84" s="26" t="n">
        <v>25</v>
      </c>
      <c r="H84" s="21" t="inlineStr">
        <is>
          <t>Cohort size.</t>
        </is>
      </c>
    </row>
    <row r="85"/>
    <row r="86">
      <c r="A86" s="16" t="inlineStr">
        <is>
          <t>11 - FILMMAKER CO-PROMOTION</t>
        </is>
      </c>
      <c r="B86" s="17" t="n"/>
      <c r="C86" s="17" t="n"/>
      <c r="D86" s="17" t="n"/>
      <c r="E86" s="17" t="n"/>
      <c r="F86" s="17" t="n"/>
      <c r="G86" s="17" t="n"/>
      <c r="H86" s="17" t="n"/>
    </row>
    <row r="87">
      <c r="A87" s="18" t="inlineStr">
        <is>
          <t>Metric</t>
        </is>
      </c>
      <c r="B87" s="18" t="inlineStr">
        <is>
          <t>Year 1</t>
        </is>
      </c>
      <c r="C87" s="18" t="inlineStr">
        <is>
          <t>Year 2</t>
        </is>
      </c>
      <c r="D87" s="18" t="inlineStr">
        <is>
          <t>Year 3</t>
        </is>
      </c>
      <c r="E87" s="18" t="inlineStr">
        <is>
          <t>Year 4</t>
        </is>
      </c>
      <c r="F87" s="18" t="inlineStr">
        <is>
          <t>Year 5</t>
        </is>
      </c>
      <c r="G87" s="1" t="n"/>
      <c r="H87" s="18" t="inlineStr">
        <is>
          <t>Collaborative promotion (no placement fees)</t>
        </is>
      </c>
    </row>
    <row r="88">
      <c r="A88" s="19" t="inlineStr">
        <is>
          <t>Placement fee per film</t>
        </is>
      </c>
      <c r="B88" s="22" t="n">
        <v>0</v>
      </c>
      <c r="C88" s="22" t="n">
        <v>0</v>
      </c>
      <c r="D88" s="22" t="n">
        <v>0</v>
      </c>
      <c r="E88" s="22" t="n">
        <v>0</v>
      </c>
      <c r="F88" s="22" t="n">
        <v>0</v>
      </c>
      <c r="H88" s="21" t="inlineStr">
        <is>
          <t>Eliminated: YUSI co-promotes with filmmakers rather than charging placement fees.</t>
        </is>
      </c>
    </row>
    <row r="89">
      <c r="A89" s="19" t="inlineStr">
        <is>
          <t>Films placed per year</t>
        </is>
      </c>
      <c r="B89" s="26" t="n">
        <v>0</v>
      </c>
      <c r="C89" s="26" t="n">
        <v>0</v>
      </c>
      <c r="D89" s="26" t="n">
        <v>0</v>
      </c>
      <c r="E89" s="26" t="n">
        <v>0</v>
      </c>
      <c r="F89" s="26" t="n">
        <v>0</v>
      </c>
      <c r="H89" s="21" t="inlineStr">
        <is>
          <t>Co-promoted films are part of content licensing (section 7), not a separate revenue stream.</t>
        </is>
      </c>
    </row>
    <row r="90"/>
    <row r="91">
      <c r="A91" s="16" t="inlineStr">
        <is>
          <t>12 - FEE STRUCTURE</t>
        </is>
      </c>
      <c r="B91" s="17" t="n"/>
      <c r="C91" s="17" t="n"/>
      <c r="D91" s="17" t="n"/>
      <c r="E91" s="17" t="n"/>
      <c r="F91" s="17" t="n"/>
      <c r="G91" s="17" t="n"/>
      <c r="H91" s="17" t="n"/>
    </row>
    <row r="92">
      <c r="A92" s="18" t="inlineStr">
        <is>
          <t>Fee component</t>
        </is>
      </c>
      <c r="B92" s="18" t="inlineStr">
        <is>
          <t>Year 1</t>
        </is>
      </c>
      <c r="C92" s="18" t="inlineStr">
        <is>
          <t>Year 2</t>
        </is>
      </c>
      <c r="D92" s="18" t="inlineStr">
        <is>
          <t>Year 3</t>
        </is>
      </c>
      <c r="E92" s="18" t="inlineStr">
        <is>
          <t>Year 4</t>
        </is>
      </c>
      <c r="F92" s="18" t="inlineStr">
        <is>
          <t>Year 5</t>
        </is>
      </c>
      <c r="G92" s="1" t="n"/>
      <c r="H92" s="18" t="inlineStr">
        <is>
          <t>Applied in Consolidated P&amp;L</t>
        </is>
      </c>
    </row>
    <row r="93">
      <c r="A93" s="19" t="inlineStr">
        <is>
          <t>Opex management fee (% of cost base)</t>
        </is>
      </c>
      <c r="B93" s="23" t="n">
        <v>0.15</v>
      </c>
      <c r="C93" s="23" t="n">
        <v>0.15</v>
      </c>
      <c r="D93" s="23" t="n">
        <v>0.15</v>
      </c>
      <c r="E93" s="23" t="n">
        <v>0.15</v>
      </c>
      <c r="F93" s="23" t="n">
        <v>0.15</v>
      </c>
      <c r="H93" s="21" t="inlineStr">
        <is>
          <t>Management services fee.</t>
        </is>
      </c>
    </row>
    <row r="94">
      <c r="A94" s="19" t="inlineStr">
        <is>
          <t>Profit participation (% of EBITDA)</t>
        </is>
      </c>
      <c r="B94" s="23" t="n">
        <v>0.15</v>
      </c>
      <c r="C94" s="23" t="n">
        <v>0.15</v>
      </c>
      <c r="D94" s="23" t="n">
        <v>0.15</v>
      </c>
      <c r="E94" s="23" t="n">
        <v>0.15</v>
      </c>
      <c r="F94" s="23" t="n">
        <v>0.15</v>
      </c>
      <c r="H94" s="21" t="inlineStr">
        <is>
          <t>Applied on positive EBITDA only.</t>
        </is>
      </c>
    </row>
    <row r="95"/>
    <row r="96">
      <c r="A96" s="16" t="inlineStr">
        <is>
          <t>13 - WORKING CAPITAL</t>
        </is>
      </c>
      <c r="B96" s="17" t="n"/>
      <c r="C96" s="17" t="n"/>
      <c r="D96" s="17" t="n"/>
      <c r="E96" s="17" t="n"/>
      <c r="F96" s="17" t="n"/>
      <c r="G96" s="17" t="n"/>
      <c r="H96" s="17" t="n"/>
    </row>
    <row r="97">
      <c r="A97" s="18" t="inlineStr">
        <is>
          <t>Metric</t>
        </is>
      </c>
      <c r="B97" s="18" t="inlineStr">
        <is>
          <t>Year 1</t>
        </is>
      </c>
      <c r="C97" s="18" t="inlineStr">
        <is>
          <t>Year 2</t>
        </is>
      </c>
      <c r="D97" s="18" t="inlineStr">
        <is>
          <t>Year 3</t>
        </is>
      </c>
      <c r="E97" s="18" t="inlineStr">
        <is>
          <t>Year 4</t>
        </is>
      </c>
      <c r="F97" s="18" t="inlineStr">
        <is>
          <t>Year 5</t>
        </is>
      </c>
      <c r="G97" s="1" t="n"/>
      <c r="H97" s="18" t="inlineStr">
        <is>
          <t>Cash conversion assumptions</t>
        </is>
      </c>
    </row>
    <row r="98">
      <c r="A98" s="19" t="inlineStr">
        <is>
          <t>Average collection lag (days)</t>
        </is>
      </c>
      <c r="B98" s="26" t="n">
        <v>45</v>
      </c>
      <c r="C98" s="26" t="n">
        <v>50</v>
      </c>
      <c r="D98" s="26" t="n">
        <v>55</v>
      </c>
      <c r="E98" s="26" t="n">
        <v>55</v>
      </c>
      <c r="F98" s="26" t="n">
        <v>60</v>
      </c>
      <c r="H98" s="21" t="inlineStr">
        <is>
          <t>Blended school (30-60d) + institutional (60-90d) payment terms.</t>
        </is>
      </c>
    </row>
    <row r="99"/>
    <row r="100">
      <c r="A100" s="16" t="inlineStr">
        <is>
          <t>14 - FUNDING &amp; USE OF PROCEEDS</t>
        </is>
      </c>
      <c r="B100" s="17" t="n"/>
      <c r="C100" s="17" t="n"/>
      <c r="D100" s="17" t="n"/>
      <c r="E100" s="17" t="n"/>
      <c r="F100" s="17" t="n"/>
      <c r="G100" s="17" t="n"/>
      <c r="H100" s="17" t="n"/>
    </row>
    <row r="101">
      <c r="A101" s="18" t="inlineStr">
        <is>
          <t>Parameter</t>
        </is>
      </c>
      <c r="B101" s="18" t="inlineStr">
        <is>
          <t>Year 1</t>
        </is>
      </c>
      <c r="C101" s="18" t="inlineStr">
        <is>
          <t>Year 2</t>
        </is>
      </c>
      <c r="D101" s="18" t="inlineStr">
        <is>
          <t>Year 3</t>
        </is>
      </c>
      <c r="E101" s="18" t="inlineStr">
        <is>
          <t>Year 4</t>
        </is>
      </c>
      <c r="F101" s="18" t="inlineStr">
        <is>
          <t>Year 5</t>
        </is>
      </c>
      <c r="G101" s="1" t="n"/>
      <c r="H101" s="18" t="inlineStr">
        <is>
          <t>Notes</t>
        </is>
      </c>
    </row>
    <row r="102">
      <c r="A102" s="19" t="inlineStr">
        <is>
          <t>Seed raise target</t>
        </is>
      </c>
      <c r="B102" s="22" t="n">
        <v>500000</v>
      </c>
      <c r="C102" s="22" t="n">
        <v>0</v>
      </c>
      <c r="D102" s="22" t="n">
        <v>0</v>
      </c>
      <c r="E102" s="22" t="n">
        <v>0</v>
      </c>
      <c r="F102" s="22" t="n">
        <v>0</v>
      </c>
      <c r="H102" s="21" t="inlineStr">
        <is>
          <t>Pre-seed / seed round size. Y1 deployment only.</t>
        </is>
      </c>
    </row>
    <row r="103">
      <c r="A103" s="19" t="inlineStr">
        <is>
          <t>Post-money valuation target (memo)</t>
        </is>
      </c>
      <c r="B103" s="22" t="n">
        <v>2500000</v>
      </c>
      <c r="C103" s="22" t="n">
        <v>0</v>
      </c>
      <c r="D103" s="22" t="n">
        <v>0</v>
      </c>
      <c r="E103" s="22" t="n">
        <v>0</v>
      </c>
      <c r="F103" s="22" t="n">
        <v>0</v>
      </c>
      <c r="H103" s="21" t="inlineStr">
        <is>
          <t>Reference only — not used in P&amp;L calculations.</t>
        </is>
      </c>
    </row>
    <row r="104">
      <c r="A104" s="19" t="inlineStr">
        <is>
          <t>% to Product &amp; Platform buildout</t>
        </is>
      </c>
      <c r="B104" s="23" t="n">
        <v>0.35</v>
      </c>
      <c r="C104" s="23" t="n">
        <v>0</v>
      </c>
      <c r="D104" s="23" t="n">
        <v>0</v>
      </c>
      <c r="E104" s="23" t="n">
        <v>0</v>
      </c>
      <c r="F104" s="23" t="n">
        <v>0</v>
      </c>
      <c r="H104" s="21" t="inlineStr">
        <is>
          <t>Technology, UX, content management platform.</t>
        </is>
      </c>
    </row>
    <row r="105">
      <c r="A105" s="19" t="inlineStr">
        <is>
          <t>% to Content library</t>
        </is>
      </c>
      <c r="B105" s="23" t="n">
        <v>0.2</v>
      </c>
      <c r="C105" s="23" t="n">
        <v>0</v>
      </c>
      <c r="D105" s="23" t="n">
        <v>0</v>
      </c>
      <c r="E105" s="23" t="n">
        <v>0</v>
      </c>
      <c r="F105" s="23" t="n">
        <v>0</v>
      </c>
      <c r="H105" s="21" t="inlineStr">
        <is>
          <t>Rights acquisition for initial curated titles.</t>
        </is>
      </c>
    </row>
    <row r="106">
      <c r="A106" s="19" t="inlineStr">
        <is>
          <t>% to Sales &amp; marketing</t>
        </is>
      </c>
      <c r="B106" s="23" t="n">
        <v>0.25</v>
      </c>
      <c r="C106" s="23" t="n">
        <v>0</v>
      </c>
      <c r="D106" s="23" t="n">
        <v>0</v>
      </c>
      <c r="E106" s="23" t="n">
        <v>0</v>
      </c>
      <c r="F106" s="23" t="n">
        <v>0</v>
      </c>
      <c r="H106" s="21" t="inlineStr">
        <is>
          <t>School outreach, pilot management, events.</t>
        </is>
      </c>
    </row>
    <row r="107">
      <c r="A107" s="19" t="inlineStr">
        <is>
          <t>% to Team (first hires)</t>
        </is>
      </c>
      <c r="B107" s="23" t="n">
        <v>0.15</v>
      </c>
      <c r="C107" s="23" t="n">
        <v>0</v>
      </c>
      <c r="D107" s="23" t="n">
        <v>0</v>
      </c>
      <c r="E107" s="23" t="n">
        <v>0</v>
      </c>
      <c r="F107" s="23" t="n">
        <v>0</v>
      </c>
      <c r="H107" s="21" t="inlineStr">
        <is>
          <t>Education lead + technical contractor.</t>
        </is>
      </c>
    </row>
    <row r="108">
      <c r="A108" s="19" t="inlineStr">
        <is>
          <t>% to Working capital reserve</t>
        </is>
      </c>
      <c r="B108" s="23" t="n">
        <v>0.05</v>
      </c>
      <c r="C108" s="23" t="n">
        <v>0</v>
      </c>
      <c r="D108" s="23" t="n">
        <v>0</v>
      </c>
      <c r="E108" s="23" t="n">
        <v>0</v>
      </c>
      <c r="F108" s="23" t="n">
        <v>0</v>
      </c>
      <c r="H108" s="21" t="inlineStr">
        <is>
          <t>Buffer for collection lag and contingencies.</t>
        </is>
      </c>
    </row>
    <row r="109">
      <c r="A109" s="19" t="inlineStr">
        <is>
          <t>Use of funds validation (must = 100%)</t>
        </is>
      </c>
      <c r="B109" s="24">
        <f>B104+B105+B106+B107+B108</f>
        <v/>
      </c>
      <c r="C109" s="24">
        <f>0</f>
        <v/>
      </c>
      <c r="D109" s="24">
        <f>0</f>
        <v/>
      </c>
      <c r="E109" s="24">
        <f>0</f>
        <v/>
      </c>
      <c r="F109" s="24">
        <f>0</f>
        <v/>
      </c>
      <c r="H109" s="21" t="inlineStr">
        <is>
          <t>Adjust percentages above so this row reads 100%.</t>
        </is>
      </c>
    </row>
    <row r="110"/>
    <row r="111">
      <c r="A111" s="16" t="inlineStr">
        <is>
          <t>9 - UNIT SENSITIVITIES (Y5 REFERENCE)</t>
        </is>
      </c>
      <c r="B111" s="17" t="n"/>
      <c r="C111" s="17" t="n"/>
      <c r="D111" s="17" t="n"/>
      <c r="E111" s="17" t="n"/>
      <c r="F111" s="17" t="n"/>
      <c r="G111" s="17" t="n"/>
      <c r="H111" s="17" t="n"/>
    </row>
    <row r="112">
      <c r="A112" s="18" t="inlineStr">
        <is>
          <t>Sensitivity</t>
        </is>
      </c>
      <c r="B112" s="18" t="inlineStr">
        <is>
          <t>Impact</t>
        </is>
      </c>
      <c r="C112" s="18" t="inlineStr"/>
      <c r="D112" s="18" t="inlineStr"/>
      <c r="E112" s="18" t="inlineStr"/>
      <c r="F112" s="18" t="inlineStr"/>
      <c r="G112" s="1" t="n"/>
      <c r="H112" s="18" t="inlineStr">
        <is>
          <t>Approximate Y5 deltas</t>
        </is>
      </c>
    </row>
    <row r="113">
      <c r="A113" s="19" t="inlineStr">
        <is>
          <t>+$1K avg school price -&gt; Y5 revenue impact</t>
        </is>
      </c>
      <c r="B113" s="28">
        <f>'School Pipeline'!F12*1000</f>
        <v/>
      </c>
    </row>
    <row r="114">
      <c r="A114" s="19" t="inlineStr">
        <is>
          <t>+1pp school churn -&gt; Y5 schools lost</t>
        </is>
      </c>
      <c r="B114" s="28">
        <f>ROUND('School Pipeline'!F7*0.01,0)</f>
        <v/>
      </c>
    </row>
    <row r="115">
      <c r="A115" s="19" t="inlineStr">
        <is>
          <t>+1 institutional agreement -&gt; Y5 revenue impact</t>
        </is>
      </c>
      <c r="B115" s="28">
        <f>'Institutional'!F17*F48</f>
        <v/>
      </c>
    </row>
    <row r="116">
      <c r="A116" s="19" t="inlineStr">
        <is>
          <t>+10% team cost -&gt; Y5 EBITDA impact</t>
        </is>
      </c>
      <c r="B116" s="28">
        <f>-0.10*F70</f>
        <v/>
      </c>
    </row>
    <row r="117"/>
    <row r="118">
      <c r="A118" s="16" t="inlineStr">
        <is>
          <t>15 - CONSUMER (B2C HOME)</t>
        </is>
      </c>
      <c r="B118" s="17" t="n"/>
      <c r="C118" s="17" t="n"/>
      <c r="D118" s="17" t="n"/>
      <c r="E118" s="17" t="n"/>
      <c r="F118" s="17" t="n"/>
      <c r="G118" s="17" t="n"/>
      <c r="H118" s="17" t="n"/>
    </row>
    <row r="119">
      <c r="A119" s="18" t="inlineStr">
        <is>
          <t>Parameter</t>
        </is>
      </c>
      <c r="B119" s="18" t="inlineStr">
        <is>
          <t>Year 1</t>
        </is>
      </c>
      <c r="C119" s="18" t="inlineStr">
        <is>
          <t>Year 2</t>
        </is>
      </c>
      <c r="D119" s="18" t="inlineStr">
        <is>
          <t>Year 3</t>
        </is>
      </c>
      <c r="E119" s="18" t="inlineStr">
        <is>
          <t>Year 4</t>
        </is>
      </c>
      <c r="F119" s="18" t="inlineStr">
        <is>
          <t>Year 5</t>
        </is>
      </c>
      <c r="G119" s="1" t="n"/>
      <c r="H119" s="18" t="inlineStr">
        <is>
          <t>Notes</t>
        </is>
      </c>
    </row>
    <row r="120">
      <c r="A120" s="19" t="inlineStr">
        <is>
          <t>Monthly subscription price (family plan)</t>
        </is>
      </c>
      <c r="B120" s="22" t="n">
        <v>0</v>
      </c>
      <c r="C120" s="22" t="n">
        <v>0</v>
      </c>
      <c r="D120" s="22" t="n">
        <v>7.99</v>
      </c>
      <c r="E120" s="22" t="n">
        <v>7.99</v>
      </c>
      <c r="F120" s="22" t="n">
        <v>8.99</v>
      </c>
      <c r="H120" s="21" t="inlineStr">
        <is>
          <t>Students discover YUSI in school, families subscribe at home. Launches Year 3.</t>
        </is>
      </c>
    </row>
    <row r="121">
      <c r="A121" s="19" t="inlineStr">
        <is>
          <t>Avg active subscribers per school</t>
        </is>
      </c>
      <c r="B121" s="26" t="n">
        <v>0</v>
      </c>
      <c r="C121" s="26" t="n">
        <v>0</v>
      </c>
      <c r="D121" s="26" t="n">
        <v>2</v>
      </c>
      <c r="E121" s="26" t="n">
        <v>6</v>
      </c>
      <c r="F121" s="26" t="n">
        <v>12</v>
      </c>
      <c r="H121" s="21" t="inlineStr">
        <is>
          <t>Encapsulates student exposure, conversion, and retention. Grows as product embeds in school culture.</t>
        </is>
      </c>
    </row>
    <row r="122">
      <c r="A122" s="19" t="inlineStr">
        <is>
          <t>Annual consumer churn</t>
        </is>
      </c>
      <c r="B122" s="23" t="n">
        <v>0</v>
      </c>
      <c r="C122" s="23" t="n">
        <v>0</v>
      </c>
      <c r="D122" s="23" t="n">
        <v>0.4</v>
      </c>
      <c r="E122" s="23" t="n">
        <v>0.3</v>
      </c>
      <c r="F122" s="23" t="n">
        <v>0.25</v>
      </c>
      <c r="H122" s="21" t="inlineStr">
        <is>
          <t>Annual (not monthly). School-referred users retain better than open-market. Ed-tech benchmark: 25-50% annual.</t>
        </is>
      </c>
    </row>
    <row r="123">
      <c r="A123" s="19" t="inlineStr">
        <is>
          <t>Per-subscriber hosting ($/year)</t>
        </is>
      </c>
      <c r="B123" s="22" t="n">
        <v>0</v>
      </c>
      <c r="C123" s="22" t="n">
        <v>0</v>
      </c>
      <c r="D123" s="22" t="n">
        <v>12</v>
      </c>
      <c r="E123" s="22" t="n">
        <v>10</v>
      </c>
      <c r="F123" s="22" t="n">
        <v>8</v>
      </c>
      <c r="H123" s="21" t="inlineStr">
        <is>
          <t>Marginal streaming + CDN cost per consumer.</t>
        </is>
      </c>
    </row>
    <row r="124">
      <c r="A124" s="19" t="inlineStr">
        <is>
          <t>Family engagement spend</t>
        </is>
      </c>
      <c r="B124" s="22" t="n">
        <v>0</v>
      </c>
      <c r="C124" s="22" t="n">
        <v>0</v>
      </c>
      <c r="D124" s="22" t="n">
        <v>15000</v>
      </c>
      <c r="E124" s="22" t="n">
        <v>30000</v>
      </c>
      <c r="F124" s="22" t="n">
        <v>50000</v>
      </c>
      <c r="H124" s="21" t="inlineStr">
        <is>
          <t>Parent outreach, social, app-store. Low because schools drive discovery.</t>
        </is>
      </c>
    </row>
    <row r="125"/>
    <row r="126">
      <c r="A126" s="16" t="inlineStr">
        <is>
          <t>16 - LOCALIZATION, COMPLIANCE &amp; GROWTH</t>
        </is>
      </c>
      <c r="B126" s="17" t="n"/>
      <c r="C126" s="17" t="n"/>
      <c r="D126" s="17" t="n"/>
      <c r="E126" s="17" t="n"/>
      <c r="F126" s="17" t="n"/>
      <c r="G126" s="17" t="n"/>
      <c r="H126" s="17" t="n"/>
    </row>
    <row r="127">
      <c r="A127" s="18" t="inlineStr">
        <is>
          <t>Parameter</t>
        </is>
      </c>
      <c r="B127" s="18" t="inlineStr">
        <is>
          <t>Year 1</t>
        </is>
      </c>
      <c r="C127" s="18" t="inlineStr">
        <is>
          <t>Year 2</t>
        </is>
      </c>
      <c r="D127" s="18" t="inlineStr">
        <is>
          <t>Year 3</t>
        </is>
      </c>
      <c r="E127" s="18" t="inlineStr">
        <is>
          <t>Year 4</t>
        </is>
      </c>
      <c r="F127" s="18" t="inlineStr">
        <is>
          <t>Year 5</t>
        </is>
      </c>
      <c r="G127" s="1" t="n"/>
      <c r="H127" s="18" t="inlineStr">
        <is>
          <t>Notes</t>
        </is>
      </c>
    </row>
    <row r="128">
      <c r="A128" s="19" t="inlineStr">
        <is>
          <t>Localization budget (subtitles, dub)</t>
        </is>
      </c>
      <c r="B128" s="22" t="n">
        <v>50000</v>
      </c>
      <c r="C128" s="22" t="n">
        <v>80000</v>
      </c>
      <c r="D128" s="22" t="n">
        <v>60000</v>
      </c>
      <c r="E128" s="22" t="n">
        <v>60000</v>
      </c>
      <c r="F128" s="22" t="n">
        <v>50000</v>
      </c>
      <c r="H128" s="21" t="inlineStr">
        <is>
          <t>Subtitling and cultural adaptation. Higher in Y2 (initial library localization push).</t>
        </is>
      </c>
    </row>
    <row r="129">
      <c r="A129" s="19" t="inlineStr">
        <is>
          <t>Data privacy &amp; compliance</t>
        </is>
      </c>
      <c r="B129" s="22" t="n">
        <v>0</v>
      </c>
      <c r="C129" s="22" t="n">
        <v>20000</v>
      </c>
      <c r="D129" s="22" t="n">
        <v>30000</v>
      </c>
      <c r="E129" s="22" t="n">
        <v>40000</v>
      </c>
      <c r="F129" s="22" t="n">
        <v>50000</v>
      </c>
      <c r="H129" s="21" t="inlineStr">
        <is>
          <t>COPPA, GDPR-K, and regional student data regulations. Scales with geographic reach.</t>
        </is>
      </c>
    </row>
    <row r="130">
      <c r="A130" s="19" t="inlineStr">
        <is>
          <t>NRR expansion rate (grade-band upsell)</t>
        </is>
      </c>
      <c r="B130" s="23" t="n">
        <v>0</v>
      </c>
      <c r="C130" s="23" t="n">
        <v>0</v>
      </c>
      <c r="D130" s="23" t="n">
        <v>0.15</v>
      </c>
      <c r="E130" s="23" t="n">
        <v>0.2</v>
      </c>
      <c r="F130" s="23" t="n">
        <v>0.25</v>
      </c>
      <c r="H130" s="21" t="inlineStr">
        <is>
          <t>Revenue expansion within retained schools via new grade bands, departments, and add-on content packs.</t>
        </is>
      </c>
    </row>
  </sheetData>
  <mergeCells count="5">
    <mergeCell ref="B7:F7"/>
    <mergeCell ref="B6:F6"/>
    <mergeCell ref="B10:F10"/>
    <mergeCell ref="B8:F8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8872A"/>
    <outlinePr summaryBelow="1" summaryRight="1"/>
    <pageSetUpPr/>
  </sheetPr>
  <dimension ref="A1:H74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CONSOLIDATED P&amp;L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Integrated view across all revenue streams, costs, and management fees.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REVENUE BY STREAM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Metric</t>
        </is>
      </c>
      <c r="B5" s="18" t="inlineStr">
        <is>
          <t>Year 1</t>
        </is>
      </c>
      <c r="C5" s="18" t="inlineStr">
        <is>
          <t>Year 2</t>
        </is>
      </c>
      <c r="D5" s="18" t="inlineStr">
        <is>
          <t>Year 3</t>
        </is>
      </c>
      <c r="E5" s="18" t="inlineStr">
        <is>
          <t>Year 4</t>
        </is>
      </c>
      <c r="F5" s="18" t="inlineStr">
        <is>
          <t>Year 5</t>
        </is>
      </c>
      <c r="G5" s="1" t="n"/>
      <c r="H5" s="18" t="inlineStr">
        <is>
          <t>Notes</t>
        </is>
      </c>
    </row>
    <row r="6">
      <c r="A6" s="19" t="inlineStr">
        <is>
          <t>B2B School revenue</t>
        </is>
      </c>
      <c r="B6" s="25">
        <f>'School Pipeline'!B19</f>
        <v/>
      </c>
      <c r="C6" s="25">
        <f>'School Pipeline'!C19</f>
        <v/>
      </c>
      <c r="D6" s="25">
        <f>'School Pipeline'!D19</f>
        <v/>
      </c>
      <c r="E6" s="25">
        <f>'School Pipeline'!E19</f>
        <v/>
      </c>
      <c r="F6" s="25">
        <f>'School Pipeline'!F19</f>
        <v/>
      </c>
    </row>
    <row r="7">
      <c r="A7" s="19" t="inlineStr">
        <is>
          <t>Institutional revenue</t>
        </is>
      </c>
      <c r="B7" s="25">
        <f>'Institutional'!B18</f>
        <v/>
      </c>
      <c r="C7" s="25">
        <f>'Institutional'!C18</f>
        <v/>
      </c>
      <c r="D7" s="25">
        <f>'Institutional'!D18</f>
        <v/>
      </c>
      <c r="E7" s="25">
        <f>'Institutional'!E18</f>
        <v/>
      </c>
      <c r="F7" s="25">
        <f>'Institutional'!F18</f>
        <v/>
      </c>
    </row>
    <row r="8">
      <c r="A8" s="19" t="inlineStr">
        <is>
          <t>PD revenue</t>
        </is>
      </c>
      <c r="B8" s="25">
        <f>'PD &amp; Licensing'!B8</f>
        <v/>
      </c>
      <c r="C8" s="25">
        <f>'PD &amp; Licensing'!C8</f>
        <v/>
      </c>
      <c r="D8" s="25">
        <f>'PD &amp; Licensing'!D8</f>
        <v/>
      </c>
      <c r="E8" s="25">
        <f>'PD &amp; Licensing'!E8</f>
        <v/>
      </c>
      <c r="F8" s="25">
        <f>'PD &amp; Licensing'!F8</f>
        <v/>
      </c>
    </row>
    <row r="9">
      <c r="A9" s="19" t="inlineStr">
        <is>
          <t>Co-promotion revenue</t>
        </is>
      </c>
      <c r="B9" s="25">
        <f>'PD &amp; Licensing'!B16</f>
        <v/>
      </c>
      <c r="C9" s="25">
        <f>'PD &amp; Licensing'!C16</f>
        <v/>
      </c>
      <c r="D9" s="25">
        <f>'PD &amp; Licensing'!D16</f>
        <v/>
      </c>
      <c r="E9" s="25">
        <f>'PD &amp; Licensing'!E16</f>
        <v/>
      </c>
      <c r="F9" s="25">
        <f>'PD &amp; Licensing'!F16</f>
        <v/>
      </c>
      <c r="H9" s="21" t="inlineStr">
        <is>
          <t>Filmmaker co-promotion ($0 by design).</t>
        </is>
      </c>
    </row>
    <row r="10">
      <c r="A10" s="19" t="inlineStr">
        <is>
          <t>Consumer (B2C) revenue</t>
        </is>
      </c>
      <c r="B10" s="25">
        <f>'Consumer (B2C)'!B16</f>
        <v/>
      </c>
      <c r="C10" s="25">
        <f>'Consumer (B2C)'!C16</f>
        <v/>
      </c>
      <c r="D10" s="25">
        <f>'Consumer (B2C)'!D16</f>
        <v/>
      </c>
      <c r="E10" s="25">
        <f>'Consumer (B2C)'!E16</f>
        <v/>
      </c>
      <c r="F10" s="25">
        <f>'Consumer (B2C)'!F16</f>
        <v/>
      </c>
      <c r="H10" s="21" t="inlineStr">
        <is>
          <t>Family subscriptions. Launches Year 3.</t>
        </is>
      </c>
    </row>
    <row r="11"/>
    <row r="12">
      <c r="A12" s="29" t="inlineStr">
        <is>
          <t>TOTAL REVENUE</t>
        </is>
      </c>
      <c r="B12" s="30">
        <f>SUM(B6:B10)</f>
        <v/>
      </c>
      <c r="C12" s="30">
        <f>SUM(C6:C10)</f>
        <v/>
      </c>
      <c r="D12" s="30">
        <f>SUM(D6:D10)</f>
        <v/>
      </c>
      <c r="E12" s="30">
        <f>SUM(E6:E10)</f>
        <v/>
      </c>
      <c r="F12" s="30">
        <f>SUM(F6:F10)</f>
        <v/>
      </c>
    </row>
    <row r="13">
      <c r="A13" s="19" t="inlineStr">
        <is>
          <t>B2B share</t>
        </is>
      </c>
      <c r="B13" s="24">
        <f>IF(B12&gt;0,B6/B12,0)</f>
        <v/>
      </c>
      <c r="C13" s="24">
        <f>IF(C12&gt;0,C6/C12,0)</f>
        <v/>
      </c>
      <c r="D13" s="24">
        <f>IF(D12&gt;0,D6/D12,0)</f>
        <v/>
      </c>
      <c r="E13" s="24">
        <f>IF(E12&gt;0,E6/E12,0)</f>
        <v/>
      </c>
      <c r="F13" s="24">
        <f>IF(F12&gt;0,F6/F12,0)</f>
        <v/>
      </c>
    </row>
    <row r="14">
      <c r="A14" s="19" t="inlineStr">
        <is>
          <t>B2G share</t>
        </is>
      </c>
      <c r="B14" s="24">
        <f>IF(B12&gt;0,B7/B12,0)</f>
        <v/>
      </c>
      <c r="C14" s="24">
        <f>IF(C12&gt;0,C7/C12,0)</f>
        <v/>
      </c>
      <c r="D14" s="24">
        <f>IF(D12&gt;0,D7/D12,0)</f>
        <v/>
      </c>
      <c r="E14" s="24">
        <f>IF(E12&gt;0,E7/E12,0)</f>
        <v/>
      </c>
      <c r="F14" s="24">
        <f>IF(F12&gt;0,F7/F12,0)</f>
        <v/>
      </c>
    </row>
    <row r="15">
      <c r="A15" s="19" t="inlineStr">
        <is>
          <t>PD share</t>
        </is>
      </c>
      <c r="B15" s="24">
        <f>IF(B12&gt;0,(B8+B9)/B12,0)</f>
        <v/>
      </c>
      <c r="C15" s="24">
        <f>IF(C12&gt;0,(C8+C9)/C12,0)</f>
        <v/>
      </c>
      <c r="D15" s="24">
        <f>IF(D12&gt;0,(D8+D9)/D12,0)</f>
        <v/>
      </c>
      <c r="E15" s="24">
        <f>IF(E12&gt;0,(E8+E9)/E12,0)</f>
        <v/>
      </c>
      <c r="F15" s="24">
        <f>IF(F12&gt;0,(F8+F9)/F12,0)</f>
        <v/>
      </c>
    </row>
    <row r="16">
      <c r="A16" s="19" t="inlineStr">
        <is>
          <t>B2C share</t>
        </is>
      </c>
      <c r="B16" s="24">
        <f>IF(B12&gt;0,B10/B12,0)</f>
        <v/>
      </c>
      <c r="C16" s="24">
        <f>IF(C12&gt;0,C10/C12,0)</f>
        <v/>
      </c>
      <c r="D16" s="24">
        <f>IF(D12&gt;0,D10/D12,0)</f>
        <v/>
      </c>
      <c r="E16" s="24">
        <f>IF(E12&gt;0,E10/E12,0)</f>
        <v/>
      </c>
      <c r="F16" s="24">
        <f>IF(F12&gt;0,F10/F12,0)</f>
        <v/>
      </c>
    </row>
    <row r="17"/>
    <row r="18">
      <c r="A18" s="16" t="inlineStr">
        <is>
          <t>2 - OPERATING METRICS</t>
        </is>
      </c>
      <c r="B18" s="17" t="n"/>
      <c r="C18" s="17" t="n"/>
      <c r="D18" s="17" t="n"/>
      <c r="E18" s="17" t="n"/>
      <c r="F18" s="17" t="n"/>
      <c r="G18" s="17" t="n"/>
      <c r="H18" s="17" t="n"/>
    </row>
    <row r="19">
      <c r="A19" s="18" t="inlineStr">
        <is>
          <t>Metric</t>
        </is>
      </c>
      <c r="B19" s="18" t="inlineStr">
        <is>
          <t>Year 1</t>
        </is>
      </c>
      <c r="C19" s="18" t="inlineStr">
        <is>
          <t>Year 2</t>
        </is>
      </c>
      <c r="D19" s="18" t="inlineStr">
        <is>
          <t>Year 3</t>
        </is>
      </c>
      <c r="E19" s="18" t="inlineStr">
        <is>
          <t>Year 4</t>
        </is>
      </c>
      <c r="F19" s="18" t="inlineStr">
        <is>
          <t>Year 5</t>
        </is>
      </c>
      <c r="G19" s="1" t="n"/>
      <c r="H19" s="18" t="inlineStr">
        <is>
          <t>Notes</t>
        </is>
      </c>
    </row>
    <row r="20">
      <c r="A20" s="19" t="inlineStr">
        <is>
          <t>B2B average active schools</t>
        </is>
      </c>
      <c r="B20" s="27">
        <f>'School Pipeline'!B12</f>
        <v/>
      </c>
      <c r="C20" s="27">
        <f>'School Pipeline'!C12</f>
        <v/>
      </c>
      <c r="D20" s="27">
        <f>'School Pipeline'!D12</f>
        <v/>
      </c>
      <c r="E20" s="27">
        <f>'School Pipeline'!E12</f>
        <v/>
      </c>
      <c r="F20" s="27">
        <f>'School Pipeline'!F12</f>
        <v/>
      </c>
    </row>
    <row r="21">
      <c r="A21" s="19" t="inlineStr">
        <is>
          <t>Institutional schools (avg)</t>
        </is>
      </c>
      <c r="B21" s="27">
        <f>'Institutional'!B11</f>
        <v/>
      </c>
      <c r="C21" s="27">
        <f>'Institutional'!C11</f>
        <v/>
      </c>
      <c r="D21" s="27">
        <f>'Institutional'!D11</f>
        <v/>
      </c>
      <c r="E21" s="27">
        <f>'Institutional'!E11</f>
        <v/>
      </c>
      <c r="F21" s="27">
        <f>'Institutional'!F11</f>
        <v/>
      </c>
    </row>
    <row r="22">
      <c r="A22" s="19" t="inlineStr">
        <is>
          <t>Total schools served</t>
        </is>
      </c>
      <c r="B22" s="27">
        <f>B20+B21</f>
        <v/>
      </c>
      <c r="C22" s="27">
        <f>C20+C21</f>
        <v/>
      </c>
      <c r="D22" s="27">
        <f>D20+D21</f>
        <v/>
      </c>
      <c r="E22" s="27">
        <f>E20+E21</f>
        <v/>
      </c>
      <c r="F22" s="27">
        <f>F20+F21</f>
        <v/>
      </c>
      <c r="H22" s="21" t="inlineStr">
        <is>
          <t>B2B direct + institutional schools.</t>
        </is>
      </c>
    </row>
    <row r="23">
      <c r="A23" s="19" t="inlineStr">
        <is>
          <t>Active B2C subscribers</t>
        </is>
      </c>
      <c r="B23" s="27">
        <f>'Consumer (B2C)'!B8</f>
        <v/>
      </c>
      <c r="C23" s="27">
        <f>'Consumer (B2C)'!C8</f>
        <v/>
      </c>
      <c r="D23" s="27">
        <f>'Consumer (B2C)'!D8</f>
        <v/>
      </c>
      <c r="E23" s="27">
        <f>'Consumer (B2C)'!E8</f>
        <v/>
      </c>
      <c r="F23" s="27">
        <f>'Consumer (B2C)'!F8</f>
        <v/>
      </c>
      <c r="H23" s="21" t="inlineStr">
        <is>
          <t>Family subscriptions from school exposure.</t>
        </is>
      </c>
    </row>
    <row r="24">
      <c r="A24" s="19" t="inlineStr">
        <is>
          <t>Titles in active rotation</t>
        </is>
      </c>
      <c r="B24" s="27">
        <f>'Parameters'!B59</f>
        <v/>
      </c>
      <c r="C24" s="27">
        <f>'Parameters'!C59</f>
        <v/>
      </c>
      <c r="D24" s="27">
        <f>'Parameters'!D59</f>
        <v/>
      </c>
      <c r="E24" s="27">
        <f>'Parameters'!E59</f>
        <v/>
      </c>
      <c r="F24" s="27">
        <f>'Parameters'!F59</f>
        <v/>
      </c>
    </row>
    <row r="25">
      <c r="A25" s="19" t="inlineStr">
        <is>
          <t>Headcount (memo)</t>
        </is>
      </c>
      <c r="B25" s="27">
        <f>'Parameters'!B71</f>
        <v/>
      </c>
      <c r="C25" s="27">
        <f>'Parameters'!C71</f>
        <v/>
      </c>
      <c r="D25" s="27">
        <f>'Parameters'!D71</f>
        <v/>
      </c>
      <c r="E25" s="27">
        <f>'Parameters'!E71</f>
        <v/>
      </c>
      <c r="F25" s="27">
        <f>'Parameters'!F71</f>
        <v/>
      </c>
      <c r="H25" s="21" t="inlineStr">
        <is>
          <t>Includes founder. Fractional consultants ~0.5 FTE each.</t>
        </is>
      </c>
    </row>
    <row r="26"/>
    <row r="27">
      <c r="A27" s="16" t="inlineStr">
        <is>
          <t>3 - COST OF REVENUE</t>
        </is>
      </c>
      <c r="B27" s="17" t="n"/>
      <c r="C27" s="17" t="n"/>
      <c r="D27" s="17" t="n"/>
      <c r="E27" s="17" t="n"/>
      <c r="F27" s="17" t="n"/>
      <c r="G27" s="17" t="n"/>
      <c r="H27" s="17" t="n"/>
    </row>
    <row r="28">
      <c r="A28" s="18" t="inlineStr">
        <is>
          <t>Metric</t>
        </is>
      </c>
      <c r="B28" s="18" t="inlineStr">
        <is>
          <t>Year 1</t>
        </is>
      </c>
      <c r="C28" s="18" t="inlineStr">
        <is>
          <t>Year 2</t>
        </is>
      </c>
      <c r="D28" s="18" t="inlineStr">
        <is>
          <t>Year 3</t>
        </is>
      </c>
      <c r="E28" s="18" t="inlineStr">
        <is>
          <t>Year 4</t>
        </is>
      </c>
      <c r="F28" s="18" t="inlineStr">
        <is>
          <t>Year 5</t>
        </is>
      </c>
      <c r="G28" s="1" t="n"/>
      <c r="H28" s="18" t="inlineStr">
        <is>
          <t>Notes</t>
        </is>
      </c>
    </row>
    <row r="29">
      <c r="A29" s="19" t="inlineStr">
        <is>
          <t>Content rights (floor or revenue share)</t>
        </is>
      </c>
      <c r="B29" s="25">
        <f>MAX(ROUND('Parameters'!B59*'Parameters'!B56,0),ROUND((B6+B7+B10)*'Parameters'!B60,0))</f>
        <v/>
      </c>
      <c r="C29" s="25">
        <f>MAX(ROUND('Parameters'!C59*'Parameters'!C56,0),ROUND((C6+C7+C10)*'Parameters'!C60,0))</f>
        <v/>
      </c>
      <c r="D29" s="25">
        <f>MAX(ROUND('Parameters'!D59*'Parameters'!D56,0),ROUND((D6+D7+D10)*'Parameters'!D60,0))</f>
        <v/>
      </c>
      <c r="E29" s="25">
        <f>MAX(ROUND('Parameters'!E59*'Parameters'!E56,0),ROUND((E6+E7+E10)*'Parameters'!E60,0))</f>
        <v/>
      </c>
      <c r="F29" s="25">
        <f>MAX(ROUND('Parameters'!F59*'Parameters'!F56,0),ROUND((F6+F7+F10)*'Parameters'!F60,0))</f>
        <v/>
      </c>
      <c r="H29" s="21" t="inlineStr">
        <is>
          <t>Higher of (titles x per-title minimum) or (subscription revenue x 12% share).</t>
        </is>
      </c>
    </row>
    <row r="30">
      <c r="A30" s="19" t="inlineStr">
        <is>
          <t>Teacher guide production</t>
        </is>
      </c>
      <c r="B30" s="25">
        <f>ROUND('Parameters'!B55*'Parameters'!B57,0)</f>
        <v/>
      </c>
      <c r="C30" s="25">
        <f>ROUND('Parameters'!C55*'Parameters'!C57,0)</f>
        <v/>
      </c>
      <c r="D30" s="25">
        <f>ROUND('Parameters'!D55*'Parameters'!D57,0)</f>
        <v/>
      </c>
      <c r="E30" s="25">
        <f>ROUND('Parameters'!E55*'Parameters'!E57,0)</f>
        <v/>
      </c>
      <c r="F30" s="25">
        <f>ROUND('Parameters'!F55*'Parameters'!F57,0)</f>
        <v/>
      </c>
      <c r="H30" s="21" t="inlineStr">
        <is>
          <t>One-time per new film.</t>
        </is>
      </c>
    </row>
    <row r="31">
      <c r="A31" s="19" t="inlineStr">
        <is>
          <t>Film curation &amp; QA</t>
        </is>
      </c>
      <c r="B31" s="25">
        <f>ROUND('Parameters'!B55*'Parameters'!B58,0)</f>
        <v/>
      </c>
      <c r="C31" s="25">
        <f>ROUND('Parameters'!C55*'Parameters'!C58,0)</f>
        <v/>
      </c>
      <c r="D31" s="25">
        <f>ROUND('Parameters'!D55*'Parameters'!D58,0)</f>
        <v/>
      </c>
      <c r="E31" s="25">
        <f>ROUND('Parameters'!E55*'Parameters'!E58,0)</f>
        <v/>
      </c>
      <c r="F31" s="25">
        <f>ROUND('Parameters'!F55*'Parameters'!F58,0)</f>
        <v/>
      </c>
      <c r="H31" s="21" t="inlineStr">
        <is>
          <t>One-time per new film.</t>
        </is>
      </c>
    </row>
    <row r="32">
      <c r="A32" s="19" t="inlineStr">
        <is>
          <t>Platform hosting</t>
        </is>
      </c>
      <c r="B32" s="25">
        <f>ROUND('Parameters'!B63+'Parameters'!B64*B22,0)</f>
        <v/>
      </c>
      <c r="C32" s="25">
        <f>ROUND('Parameters'!C63+'Parameters'!C64*C22,0)</f>
        <v/>
      </c>
      <c r="D32" s="25">
        <f>ROUND('Parameters'!D63+'Parameters'!D64*D22,0)</f>
        <v/>
      </c>
      <c r="E32" s="25">
        <f>ROUND('Parameters'!E63+'Parameters'!E64*E22,0)</f>
        <v/>
      </c>
      <c r="F32" s="25">
        <f>ROUND('Parameters'!F63+'Parameters'!F64*F22,0)</f>
        <v/>
      </c>
      <c r="H32" s="21" t="inlineStr">
        <is>
          <t>Base + per-school variable x total schools.</t>
        </is>
      </c>
    </row>
    <row r="33">
      <c r="A33" s="19" t="inlineStr">
        <is>
          <t>School support</t>
        </is>
      </c>
      <c r="B33" s="25">
        <f>ROUND('Parameters'!B65*B22,0)</f>
        <v/>
      </c>
      <c r="C33" s="25">
        <f>ROUND('Parameters'!C65*C22,0)</f>
        <v/>
      </c>
      <c r="D33" s="25">
        <f>ROUND('Parameters'!D65*D22,0)</f>
        <v/>
      </c>
      <c r="E33" s="25">
        <f>ROUND('Parameters'!E65*E22,0)</f>
        <v/>
      </c>
      <c r="F33" s="25">
        <f>ROUND('Parameters'!F65*F22,0)</f>
        <v/>
      </c>
      <c r="H33" s="21" t="inlineStr">
        <is>
          <t>Per-school support cost x total schools.</t>
        </is>
      </c>
    </row>
    <row r="34">
      <c r="A34" s="19" t="inlineStr">
        <is>
          <t>Content delivery</t>
        </is>
      </c>
      <c r="B34" s="25">
        <f>ROUND('Parameters'!B66*B22,0)</f>
        <v/>
      </c>
      <c r="C34" s="25">
        <f>ROUND('Parameters'!C66*C22,0)</f>
        <v/>
      </c>
      <c r="D34" s="25">
        <f>ROUND('Parameters'!D66*D22,0)</f>
        <v/>
      </c>
      <c r="E34" s="25">
        <f>ROUND('Parameters'!E66*E22,0)</f>
        <v/>
      </c>
      <c r="F34" s="25">
        <f>ROUND('Parameters'!F66*F22,0)</f>
        <v/>
      </c>
      <c r="H34" s="21" t="inlineStr">
        <is>
          <t>Per-school CDN/delivery cost x total schools.</t>
        </is>
      </c>
    </row>
    <row r="35">
      <c r="A35" s="19" t="inlineStr">
        <is>
          <t>PD delivery costs</t>
        </is>
      </c>
      <c r="B35" s="25">
        <f>'PD &amp; Licensing'!B10</f>
        <v/>
      </c>
      <c r="C35" s="25">
        <f>'PD &amp; Licensing'!C10</f>
        <v/>
      </c>
      <c r="D35" s="25">
        <f>'PD &amp; Licensing'!D10</f>
        <v/>
      </c>
      <c r="E35" s="25">
        <f>'PD &amp; Licensing'!E10</f>
        <v/>
      </c>
      <c r="F35" s="25">
        <f>'PD &amp; Licensing'!F10</f>
        <v/>
      </c>
      <c r="H35" s="21" t="inlineStr">
        <is>
          <t>Workshop delivery costs.</t>
        </is>
      </c>
    </row>
    <row r="36">
      <c r="A36" s="19" t="inlineStr">
        <is>
          <t>B2C family streaming costs</t>
        </is>
      </c>
      <c r="B36" s="25">
        <f>'Consumer (B2C)'!B20</f>
        <v/>
      </c>
      <c r="C36" s="25">
        <f>'Consumer (B2C)'!C20</f>
        <v/>
      </c>
      <c r="D36" s="25">
        <f>'Consumer (B2C)'!D20</f>
        <v/>
      </c>
      <c r="E36" s="25">
        <f>'Consumer (B2C)'!E20</f>
        <v/>
      </c>
      <c r="F36" s="25">
        <f>'Consumer (B2C)'!F20</f>
        <v/>
      </c>
      <c r="H36" s="21" t="inlineStr">
        <is>
          <t>Marginal streaming cost per family.</t>
        </is>
      </c>
    </row>
    <row r="37">
      <c r="A37" s="19" t="inlineStr">
        <is>
          <t>Curriculum operations</t>
        </is>
      </c>
      <c r="B37" s="25">
        <f>ROUND('Parameters'!B67*B22,0)</f>
        <v/>
      </c>
      <c r="C37" s="25">
        <f>ROUND('Parameters'!C67*C22,0)</f>
        <v/>
      </c>
      <c r="D37" s="25">
        <f>ROUND('Parameters'!D67*D22,0)</f>
        <v/>
      </c>
      <c r="E37" s="25">
        <f>ROUND('Parameters'!E67*E22,0)</f>
        <v/>
      </c>
      <c r="F37" s="25">
        <f>ROUND('Parameters'!F67*F22,0)</f>
        <v/>
      </c>
      <c r="H37" s="21" t="inlineStr">
        <is>
          <t>Per-school curriculum alignment and updates.</t>
        </is>
      </c>
    </row>
    <row r="38">
      <c r="A38" s="19" t="inlineStr">
        <is>
          <t>Localization (subtitles, cultural adapt.)</t>
        </is>
      </c>
      <c r="B38" s="25">
        <f>'Parameters'!B128</f>
        <v/>
      </c>
      <c r="C38" s="25">
        <f>'Parameters'!C128</f>
        <v/>
      </c>
      <c r="D38" s="25">
        <f>'Parameters'!D128</f>
        <v/>
      </c>
      <c r="E38" s="25">
        <f>'Parameters'!E128</f>
        <v/>
      </c>
      <c r="F38" s="25">
        <f>'Parameters'!F128</f>
        <v/>
      </c>
      <c r="H38" s="21" t="inlineStr">
        <is>
          <t>Subtitling, dubbing, cultural adaptation.</t>
        </is>
      </c>
    </row>
    <row r="39">
      <c r="A39" s="29" t="inlineStr">
        <is>
          <t>TOTAL COST OF REVENUE</t>
        </is>
      </c>
      <c r="B39" s="30">
        <f>SUM(B29:B38)</f>
        <v/>
      </c>
      <c r="C39" s="30">
        <f>SUM(C29:C38)</f>
        <v/>
      </c>
      <c r="D39" s="30">
        <f>SUM(D29:D38)</f>
        <v/>
      </c>
      <c r="E39" s="30">
        <f>SUM(E29:E38)</f>
        <v/>
      </c>
      <c r="F39" s="30">
        <f>SUM(F29:F38)</f>
        <v/>
      </c>
    </row>
    <row r="40">
      <c r="A40" s="19" t="inlineStr">
        <is>
          <t>GROSS PROFIT</t>
        </is>
      </c>
      <c r="B40" s="25">
        <f>B12-B39</f>
        <v/>
      </c>
      <c r="C40" s="25">
        <f>C12-C39</f>
        <v/>
      </c>
      <c r="D40" s="25">
        <f>D12-D39</f>
        <v/>
      </c>
      <c r="E40" s="25">
        <f>E12-E39</f>
        <v/>
      </c>
      <c r="F40" s="25">
        <f>F12-F39</f>
        <v/>
      </c>
    </row>
    <row r="41">
      <c r="A41" s="19" t="inlineStr">
        <is>
          <t>Gross margin</t>
        </is>
      </c>
      <c r="B41" s="24">
        <f>IF(B12&gt;0,B40/B12,0)</f>
        <v/>
      </c>
      <c r="C41" s="24">
        <f>IF(C12&gt;0,C40/C12,0)</f>
        <v/>
      </c>
      <c r="D41" s="24">
        <f>IF(D12&gt;0,D40/D12,0)</f>
        <v/>
      </c>
      <c r="E41" s="24">
        <f>IF(E12&gt;0,E40/E12,0)</f>
        <v/>
      </c>
      <c r="F41" s="24">
        <f>IF(F12&gt;0,F40/F12,0)</f>
        <v/>
      </c>
      <c r="H41" s="21" t="inlineStr">
        <is>
          <t>Y1 depressed (fixed content library vs few schools). Improves as library amortises. Ed-tech target: 70-85%.</t>
        </is>
      </c>
    </row>
    <row r="42"/>
    <row r="43">
      <c r="A43" s="16" t="inlineStr">
        <is>
          <t>4 - OPERATING EXPENSES</t>
        </is>
      </c>
      <c r="B43" s="17" t="n"/>
      <c r="C43" s="17" t="n"/>
      <c r="D43" s="17" t="n"/>
      <c r="E43" s="17" t="n"/>
      <c r="F43" s="17" t="n"/>
      <c r="G43" s="17" t="n"/>
      <c r="H43" s="17" t="n"/>
    </row>
    <row r="44">
      <c r="A44" s="18" t="inlineStr">
        <is>
          <t>Metric</t>
        </is>
      </c>
      <c r="B44" s="18" t="inlineStr">
        <is>
          <t>Year 1</t>
        </is>
      </c>
      <c r="C44" s="18" t="inlineStr">
        <is>
          <t>Year 2</t>
        </is>
      </c>
      <c r="D44" s="18" t="inlineStr">
        <is>
          <t>Year 3</t>
        </is>
      </c>
      <c r="E44" s="18" t="inlineStr">
        <is>
          <t>Year 4</t>
        </is>
      </c>
      <c r="F44" s="18" t="inlineStr">
        <is>
          <t>Year 5</t>
        </is>
      </c>
      <c r="G44" s="1" t="n"/>
      <c r="H44" s="18" t="inlineStr">
        <is>
          <t>Notes</t>
        </is>
      </c>
    </row>
    <row r="45">
      <c r="A45" s="19" t="inlineStr">
        <is>
          <t>Team (salaries + benefits)</t>
        </is>
      </c>
      <c r="B45" s="25">
        <f>'Parameters'!B70</f>
        <v/>
      </c>
      <c r="C45" s="25">
        <f>'Parameters'!C70</f>
        <v/>
      </c>
      <c r="D45" s="25">
        <f>'Parameters'!D70</f>
        <v/>
      </c>
      <c r="E45" s="25">
        <f>'Parameters'!E70</f>
        <v/>
      </c>
      <c r="F45" s="25">
        <f>'Parameters'!F70</f>
        <v/>
      </c>
    </row>
    <row r="46">
      <c r="A46" s="19" t="inlineStr">
        <is>
          <t>School acquisition spend</t>
        </is>
      </c>
      <c r="B46" s="25">
        <f>'School Pipeline'!B24</f>
        <v/>
      </c>
      <c r="C46" s="25">
        <f>'School Pipeline'!C24</f>
        <v/>
      </c>
      <c r="D46" s="25">
        <f>'School Pipeline'!D24</f>
        <v/>
      </c>
      <c r="E46" s="25">
        <f>'School Pipeline'!E24</f>
        <v/>
      </c>
      <c r="F46" s="25">
        <f>'School Pipeline'!F24</f>
        <v/>
      </c>
      <c r="H46" s="21" t="inlineStr">
        <is>
          <t>Paid CAC x gross adds.</t>
        </is>
      </c>
    </row>
    <row r="47">
      <c r="A47" s="19" t="inlineStr">
        <is>
          <t>Family engagement spend</t>
        </is>
      </c>
      <c r="B47" s="25">
        <f>'Consumer (B2C)'!B21</f>
        <v/>
      </c>
      <c r="C47" s="25">
        <f>'Consumer (B2C)'!C21</f>
        <v/>
      </c>
      <c r="D47" s="25">
        <f>'Consumer (B2C)'!D21</f>
        <v/>
      </c>
      <c r="E47" s="25">
        <f>'Consumer (B2C)'!E21</f>
        <v/>
      </c>
      <c r="F47" s="25">
        <f>'Consumer (B2C)'!F21</f>
        <v/>
      </c>
      <c r="H47" s="21" t="inlineStr">
        <is>
          <t>Parent outreach, social, app-store.</t>
        </is>
      </c>
    </row>
    <row r="48">
      <c r="A48" s="19" t="inlineStr">
        <is>
          <t>Travel &amp; conferences</t>
        </is>
      </c>
      <c r="B48" s="25">
        <f>'Parameters'!B72</f>
        <v/>
      </c>
      <c r="C48" s="25">
        <f>'Parameters'!C72</f>
        <v/>
      </c>
      <c r="D48" s="25">
        <f>'Parameters'!D72</f>
        <v/>
      </c>
      <c r="E48" s="25">
        <f>'Parameters'!E72</f>
        <v/>
      </c>
      <c r="F48" s="25">
        <f>'Parameters'!F72</f>
        <v/>
      </c>
    </row>
    <row r="49">
      <c r="A49" s="19" t="inlineStr">
        <is>
          <t>Sales &amp; marketing</t>
        </is>
      </c>
      <c r="B49" s="25">
        <f>'Parameters'!B73</f>
        <v/>
      </c>
      <c r="C49" s="25">
        <f>'Parameters'!C73</f>
        <v/>
      </c>
      <c r="D49" s="25">
        <f>'Parameters'!D73</f>
        <v/>
      </c>
      <c r="E49" s="25">
        <f>'Parameters'!E73</f>
        <v/>
      </c>
      <c r="F49" s="25">
        <f>'Parameters'!F73</f>
        <v/>
      </c>
    </row>
    <row r="50">
      <c r="A50" s="19" t="inlineStr">
        <is>
          <t>Legal &amp; admin</t>
        </is>
      </c>
      <c r="B50" s="25">
        <f>'Parameters'!B74</f>
        <v/>
      </c>
      <c r="C50" s="25">
        <f>'Parameters'!C74</f>
        <v/>
      </c>
      <c r="D50" s="25">
        <f>'Parameters'!D74</f>
        <v/>
      </c>
      <c r="E50" s="25">
        <f>'Parameters'!E74</f>
        <v/>
      </c>
      <c r="F50" s="25">
        <f>'Parameters'!F74</f>
        <v/>
      </c>
    </row>
    <row r="51">
      <c r="A51" s="19" t="inlineStr">
        <is>
          <t>Office / co-working</t>
        </is>
      </c>
      <c r="B51" s="25">
        <f>'Parameters'!B75</f>
        <v/>
      </c>
      <c r="C51" s="25">
        <f>'Parameters'!C75</f>
        <v/>
      </c>
      <c r="D51" s="25">
        <f>'Parameters'!D75</f>
        <v/>
      </c>
      <c r="E51" s="25">
        <f>'Parameters'!E75</f>
        <v/>
      </c>
      <c r="F51" s="25">
        <f>'Parameters'!F75</f>
        <v/>
      </c>
    </row>
    <row r="52">
      <c r="A52" s="19" t="inlineStr">
        <is>
          <t>Tools &amp; software</t>
        </is>
      </c>
      <c r="B52" s="25">
        <f>'Parameters'!B76</f>
        <v/>
      </c>
      <c r="C52" s="25">
        <f>'Parameters'!C76</f>
        <v/>
      </c>
      <c r="D52" s="25">
        <f>'Parameters'!D76</f>
        <v/>
      </c>
      <c r="E52" s="25">
        <f>'Parameters'!E76</f>
        <v/>
      </c>
      <c r="F52" s="25">
        <f>'Parameters'!F76</f>
        <v/>
      </c>
    </row>
    <row r="53">
      <c r="A53" s="19" t="inlineStr">
        <is>
          <t>Data privacy &amp; compliance</t>
        </is>
      </c>
      <c r="B53" s="25">
        <f>'Parameters'!B129</f>
        <v/>
      </c>
      <c r="C53" s="25">
        <f>'Parameters'!C129</f>
        <v/>
      </c>
      <c r="D53" s="25">
        <f>'Parameters'!D129</f>
        <v/>
      </c>
      <c r="E53" s="25">
        <f>'Parameters'!E129</f>
        <v/>
      </c>
      <c r="F53" s="25">
        <f>'Parameters'!F129</f>
        <v/>
      </c>
      <c r="H53" s="21" t="inlineStr">
        <is>
          <t>COPPA, GDPR-K, student data regs. Scales with geographic reach.</t>
        </is>
      </c>
    </row>
    <row r="54">
      <c r="A54" s="29" t="inlineStr">
        <is>
          <t>TOTAL OPEX</t>
        </is>
      </c>
      <c r="B54" s="30">
        <f>SUM(B45:B53)</f>
        <v/>
      </c>
      <c r="C54" s="30">
        <f>SUM(C45:C53)</f>
        <v/>
      </c>
      <c r="D54" s="30">
        <f>SUM(D45:D53)</f>
        <v/>
      </c>
      <c r="E54" s="30">
        <f>SUM(E45:E53)</f>
        <v/>
      </c>
      <c r="F54" s="30">
        <f>SUM(F45:F53)</f>
        <v/>
      </c>
    </row>
    <row r="55"/>
    <row r="56">
      <c r="A56" s="16" t="inlineStr">
        <is>
          <t>5 - CONSOLIDATED P&amp;L</t>
        </is>
      </c>
      <c r="B56" s="17" t="n"/>
      <c r="C56" s="17" t="n"/>
      <c r="D56" s="17" t="n"/>
      <c r="E56" s="17" t="n"/>
      <c r="F56" s="17" t="n"/>
      <c r="G56" s="17" t="n"/>
      <c r="H56" s="17" t="n"/>
    </row>
    <row r="57">
      <c r="A57" s="18" t="inlineStr">
        <is>
          <t>Metric</t>
        </is>
      </c>
      <c r="B57" s="18" t="inlineStr">
        <is>
          <t>Year 1</t>
        </is>
      </c>
      <c r="C57" s="18" t="inlineStr">
        <is>
          <t>Year 2</t>
        </is>
      </c>
      <c r="D57" s="18" t="inlineStr">
        <is>
          <t>Year 3</t>
        </is>
      </c>
      <c r="E57" s="18" t="inlineStr">
        <is>
          <t>Year 4</t>
        </is>
      </c>
      <c r="F57" s="18" t="inlineStr">
        <is>
          <t>Year 5</t>
        </is>
      </c>
      <c r="G57" s="1" t="n"/>
      <c r="H57" s="18" t="inlineStr">
        <is>
          <t>Notes</t>
        </is>
      </c>
    </row>
    <row r="58">
      <c r="A58" s="19" t="inlineStr">
        <is>
          <t>Total operating costs (COGS + Opex)</t>
        </is>
      </c>
      <c r="B58" s="25">
        <f>B39+B54</f>
        <v/>
      </c>
      <c r="C58" s="25">
        <f>C39+C54</f>
        <v/>
      </c>
      <c r="D58" s="25">
        <f>D39+D54</f>
        <v/>
      </c>
      <c r="E58" s="25">
        <f>E39+E54</f>
        <v/>
      </c>
      <c r="F58" s="25">
        <f>F39+F54</f>
        <v/>
      </c>
    </row>
    <row r="59">
      <c r="A59" s="29" t="inlineStr">
        <is>
          <t>EBITDA</t>
        </is>
      </c>
      <c r="B59" s="30">
        <f>B12-B58</f>
        <v/>
      </c>
      <c r="C59" s="30">
        <f>C12-C58</f>
        <v/>
      </c>
      <c r="D59" s="30">
        <f>D12-D58</f>
        <v/>
      </c>
      <c r="E59" s="30">
        <f>E12-E58</f>
        <v/>
      </c>
      <c r="F59" s="30">
        <f>F12-F58</f>
        <v/>
      </c>
    </row>
    <row r="60">
      <c r="A60" s="19" t="inlineStr">
        <is>
          <t>EBITDA margin</t>
        </is>
      </c>
      <c r="B60" s="24">
        <f>IF(B12&gt;0,B59/B12,0)</f>
        <v/>
      </c>
      <c r="C60" s="24">
        <f>IF(C12&gt;0,C59/C12,0)</f>
        <v/>
      </c>
      <c r="D60" s="24">
        <f>IF(D12&gt;0,D59/D12,0)</f>
        <v/>
      </c>
      <c r="E60" s="24">
        <f>IF(E12&gt;0,E59/E12,0)</f>
        <v/>
      </c>
      <c r="F60" s="24">
        <f>IF(F12&gt;0,F59/F12,0)</f>
        <v/>
      </c>
    </row>
    <row r="61"/>
    <row r="62">
      <c r="A62" s="16" t="inlineStr">
        <is>
          <t>6 - FEES</t>
        </is>
      </c>
      <c r="B62" s="17" t="n"/>
      <c r="C62" s="17" t="n"/>
      <c r="D62" s="17" t="n"/>
      <c r="E62" s="17" t="n"/>
      <c r="F62" s="17" t="n"/>
      <c r="G62" s="17" t="n"/>
      <c r="H62" s="17" t="n"/>
    </row>
    <row r="63">
      <c r="A63" s="18" t="inlineStr">
        <is>
          <t>Metric</t>
        </is>
      </c>
      <c r="B63" s="18" t="inlineStr">
        <is>
          <t>Year 1</t>
        </is>
      </c>
      <c r="C63" s="18" t="inlineStr">
        <is>
          <t>Year 2</t>
        </is>
      </c>
      <c r="D63" s="18" t="inlineStr">
        <is>
          <t>Year 3</t>
        </is>
      </c>
      <c r="E63" s="18" t="inlineStr">
        <is>
          <t>Year 4</t>
        </is>
      </c>
      <c r="F63" s="18" t="inlineStr">
        <is>
          <t>Year 5</t>
        </is>
      </c>
      <c r="G63" s="1" t="n"/>
      <c r="H63" s="18" t="inlineStr">
        <is>
          <t>Notes</t>
        </is>
      </c>
    </row>
    <row r="64">
      <c r="A64" s="19" t="inlineStr">
        <is>
          <t>Opex management fee</t>
        </is>
      </c>
      <c r="B64" s="25">
        <f>ROUND(B58*'Parameters'!B93,0)</f>
        <v/>
      </c>
      <c r="C64" s="25">
        <f>ROUND(C58*'Parameters'!C93,0)</f>
        <v/>
      </c>
      <c r="D64" s="25">
        <f>ROUND(D58*'Parameters'!D93,0)</f>
        <v/>
      </c>
      <c r="E64" s="25">
        <f>ROUND(E58*'Parameters'!E93,0)</f>
        <v/>
      </c>
      <c r="F64" s="25">
        <f>ROUND(F58*'Parameters'!F93,0)</f>
        <v/>
      </c>
    </row>
    <row r="65">
      <c r="A65" s="19" t="inlineStr">
        <is>
          <t>Profit participation</t>
        </is>
      </c>
      <c r="B65" s="25">
        <f>ROUND(MAX(0,B59)*'Parameters'!B94,0)</f>
        <v/>
      </c>
      <c r="C65" s="25">
        <f>ROUND(MAX(0,C59)*'Parameters'!C94,0)</f>
        <v/>
      </c>
      <c r="D65" s="25">
        <f>ROUND(MAX(0,D59)*'Parameters'!D94,0)</f>
        <v/>
      </c>
      <c r="E65" s="25">
        <f>ROUND(MAX(0,E59)*'Parameters'!E94,0)</f>
        <v/>
      </c>
      <c r="F65" s="25">
        <f>ROUND(MAX(0,F59)*'Parameters'!F94,0)</f>
        <v/>
      </c>
      <c r="H65" s="21" t="inlineStr">
        <is>
          <t>Applied on positive EBITDA only.</t>
        </is>
      </c>
    </row>
    <row r="66">
      <c r="A66" s="19" t="inlineStr">
        <is>
          <t>Total fees</t>
        </is>
      </c>
      <c r="B66" s="25">
        <f>B64+B65</f>
        <v/>
      </c>
      <c r="C66" s="25">
        <f>C64+C65</f>
        <v/>
      </c>
      <c r="D66" s="25">
        <f>D64+D65</f>
        <v/>
      </c>
      <c r="E66" s="25">
        <f>E64+E65</f>
        <v/>
      </c>
      <c r="F66" s="25">
        <f>F64+F65</f>
        <v/>
      </c>
    </row>
    <row r="67">
      <c r="A67" s="29" t="inlineStr">
        <is>
          <t>NET P&amp;L AFTER FEES</t>
        </is>
      </c>
      <c r="B67" s="30">
        <f>B59-B66</f>
        <v/>
      </c>
      <c r="C67" s="30">
        <f>C59-C66</f>
        <v/>
      </c>
      <c r="D67" s="30">
        <f>D59-D66</f>
        <v/>
      </c>
      <c r="E67" s="30">
        <f>E59-E66</f>
        <v/>
      </c>
      <c r="F67" s="30">
        <f>F59-F66</f>
        <v/>
      </c>
    </row>
    <row r="68"/>
    <row r="69">
      <c r="A69" s="16" t="inlineStr">
        <is>
          <t>7 - KEY METRICS</t>
        </is>
      </c>
      <c r="B69" s="17" t="n"/>
      <c r="C69" s="17" t="n"/>
      <c r="D69" s="17" t="n"/>
      <c r="E69" s="17" t="n"/>
      <c r="F69" s="17" t="n"/>
      <c r="G69" s="17" t="n"/>
      <c r="H69" s="17" t="n"/>
    </row>
    <row r="70">
      <c r="A70" s="18" t="inlineStr">
        <is>
          <t>Metric</t>
        </is>
      </c>
      <c r="B70" s="18" t="inlineStr">
        <is>
          <t>Year 1</t>
        </is>
      </c>
      <c r="C70" s="18" t="inlineStr">
        <is>
          <t>Year 2</t>
        </is>
      </c>
      <c r="D70" s="18" t="inlineStr">
        <is>
          <t>Year 3</t>
        </is>
      </c>
      <c r="E70" s="18" t="inlineStr">
        <is>
          <t>Year 4</t>
        </is>
      </c>
      <c r="F70" s="18" t="inlineStr">
        <is>
          <t>Year 5</t>
        </is>
      </c>
      <c r="G70" s="1" t="n"/>
      <c r="H70" s="18" t="inlineStr">
        <is>
          <t>Notes</t>
        </is>
      </c>
    </row>
    <row r="71">
      <c r="A71" s="19" t="inlineStr">
        <is>
          <t>Revenue per school (blended, all channels)</t>
        </is>
      </c>
      <c r="B71" s="25">
        <f>IF(B22&gt;0,B12/B22,0)</f>
        <v/>
      </c>
      <c r="C71" s="25">
        <f>IF(C22&gt;0,C12/C22,0)</f>
        <v/>
      </c>
      <c r="D71" s="25">
        <f>IF(D22&gt;0,D12/D22,0)</f>
        <v/>
      </c>
      <c r="E71" s="25">
        <f>IF(E22&gt;0,E12/E22,0)</f>
        <v/>
      </c>
      <c r="F71" s="25">
        <f>IF(F22&gt;0,F12/F22,0)</f>
        <v/>
      </c>
    </row>
    <row r="72">
      <c r="A72" s="19" t="inlineStr">
        <is>
          <t>Revenue per employee</t>
        </is>
      </c>
      <c r="B72" s="25">
        <f>IF(B25&gt;0,B12/B25,0)</f>
        <v/>
      </c>
      <c r="C72" s="25">
        <f>IF(C25&gt;0,C12/C25,0)</f>
        <v/>
      </c>
      <c r="D72" s="25">
        <f>IF(D25&gt;0,D12/D25,0)</f>
        <v/>
      </c>
      <c r="E72" s="25">
        <f>IF(E25&gt;0,E12/E25,0)</f>
        <v/>
      </c>
      <c r="F72" s="25">
        <f>IF(F25&gt;0,F12/F25,0)</f>
        <v/>
      </c>
    </row>
    <row r="73">
      <c r="A73" s="19" t="inlineStr">
        <is>
          <t>Total schools served (B2B + B2G)</t>
        </is>
      </c>
      <c r="B73" s="27">
        <f>B22</f>
        <v/>
      </c>
      <c r="C73" s="27">
        <f>C22</f>
        <v/>
      </c>
      <c r="D73" s="27">
        <f>D22</f>
        <v/>
      </c>
      <c r="E73" s="27">
        <f>E22</f>
        <v/>
      </c>
      <c r="F73" s="27">
        <f>F22</f>
        <v/>
      </c>
    </row>
    <row r="74">
      <c r="A74" s="19" t="inlineStr">
        <is>
          <t>B2C revenue per school</t>
        </is>
      </c>
      <c r="B74" s="25">
        <f>IF(B22&gt;0,B10/B22,0)</f>
        <v/>
      </c>
      <c r="C74" s="25">
        <f>IF(C22&gt;0,C10/C22,0)</f>
        <v/>
      </c>
      <c r="D74" s="25">
        <f>IF(D22&gt;0,D10/D22,0)</f>
        <v/>
      </c>
      <c r="E74" s="25">
        <f>IF(E22&gt;0,E10/E22,0)</f>
        <v/>
      </c>
      <c r="F74" s="25">
        <f>IF(F22&gt;0,F10/F22,0)</f>
        <v/>
      </c>
      <c r="H74" s="21" t="inlineStr">
        <is>
          <t>Consumer revenue attributed back to school base.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C8872A"/>
    <outlinePr summaryBelow="1" summaryRight="1"/>
    <pageSetUpPr/>
  </sheetPr>
  <dimension ref="A1:H47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</row>
    <row r="2" ht="3" customHeight="1">
      <c r="A2" s="1" t="n"/>
      <c r="B2" s="2" t="n"/>
      <c r="C2" s="2" t="n"/>
      <c r="D2" s="2" t="n"/>
      <c r="E2" s="2" t="n"/>
      <c r="F2" s="2" t="n"/>
      <c r="G2" s="2" t="n"/>
      <c r="H2" s="1" t="n"/>
    </row>
    <row r="3" ht="36" customHeight="1">
      <c r="A3" s="31" t="inlineStr">
        <is>
          <t>INVESTOR VIEW</t>
        </is>
      </c>
      <c r="B3" s="1" t="n"/>
      <c r="C3" s="1" t="n"/>
      <c r="D3" s="1" t="n"/>
      <c r="E3" s="1" t="n"/>
      <c r="F3" s="1" t="n"/>
      <c r="G3" s="1" t="n"/>
      <c r="H3" s="1" t="n"/>
    </row>
    <row r="4" ht="20" customHeight="1">
      <c r="A4" s="32" t="inlineStr">
        <is>
          <t>YUSI  ·  Cinema-Integrated Education Platform</t>
        </is>
      </c>
      <c r="B4" s="1" t="n"/>
      <c r="C4" s="1" t="n"/>
      <c r="D4" s="1" t="n"/>
      <c r="E4" s="1" t="n"/>
      <c r="F4" s="1" t="n"/>
      <c r="G4" s="1" t="n"/>
      <c r="H4" s="1" t="n"/>
    </row>
    <row r="5" ht="16" customHeight="1">
      <c r="A5" s="8">
        <f>'Parameters'!B7</f>
        <v/>
      </c>
      <c r="B5" s="1" t="n"/>
      <c r="C5" s="1" t="n"/>
      <c r="D5" s="1" t="n"/>
      <c r="E5" s="1" t="n"/>
      <c r="F5" s="1" t="n"/>
      <c r="G5" s="1" t="n"/>
      <c r="H5" s="1" t="n"/>
    </row>
    <row r="6" ht="6" customHeight="1">
      <c r="A6" s="1" t="n"/>
      <c r="B6" s="1" t="n"/>
      <c r="C6" s="1" t="n"/>
      <c r="D6" s="1" t="n"/>
      <c r="E6" s="1" t="n"/>
      <c r="F6" s="1" t="n"/>
      <c r="G6" s="1" t="n"/>
      <c r="H6" s="1" t="n"/>
    </row>
    <row r="7" ht="14" customHeight="1">
      <c r="A7" s="1" t="n"/>
      <c r="B7" s="33" t="inlineStr">
        <is>
          <t>Year 5 ARR</t>
        </is>
      </c>
      <c r="C7" s="33" t="inlineStr">
        <is>
          <t>Year 5 Schools</t>
        </is>
      </c>
      <c r="D7" s="33" t="inlineStr">
        <is>
          <t>Y5 Gross Margin</t>
        </is>
      </c>
      <c r="E7" s="33" t="inlineStr">
        <is>
          <t>Funding Required</t>
        </is>
      </c>
      <c r="F7" s="1" t="n"/>
      <c r="G7" s="1" t="n"/>
      <c r="H7" s="1" t="n"/>
    </row>
    <row r="8" ht="26" customHeight="1">
      <c r="A8" s="1" t="n"/>
      <c r="B8" s="34">
        <f>'School Pipeline'!F36</f>
        <v/>
      </c>
      <c r="C8" s="35">
        <f>'School Pipeline'!F6+'Institutional'!F10</f>
        <v/>
      </c>
      <c r="D8" s="36">
        <f>'Consolidated'!F41</f>
        <v/>
      </c>
      <c r="E8" s="34">
        <f>MAX('Cash Flow'!B16,'Cash Flow'!C16,'Cash Flow'!D16,'Cash Flow'!E16,'Cash Flow'!F16)</f>
        <v/>
      </c>
      <c r="F8" s="1" t="n"/>
      <c r="G8" s="1" t="n"/>
      <c r="H8" s="1" t="n"/>
    </row>
    <row r="9" ht="4" customHeight="1">
      <c r="A9" s="1" t="n"/>
      <c r="B9" s="1" t="n"/>
      <c r="C9" s="1" t="n"/>
      <c r="D9" s="1" t="n"/>
      <c r="E9" s="1" t="n"/>
      <c r="F9" s="1" t="n"/>
      <c r="G9" s="1" t="n"/>
      <c r="H9" s="1" t="n"/>
    </row>
    <row r="10">
      <c r="A10" s="16" t="inlineStr">
        <is>
          <t>5-YEAR FINANCIAL SUMMARY</t>
        </is>
      </c>
      <c r="B10" s="17" t="n"/>
      <c r="C10" s="17" t="n"/>
      <c r="D10" s="17" t="n"/>
      <c r="E10" s="17" t="n"/>
      <c r="F10" s="17" t="n"/>
      <c r="G10" s="17" t="n"/>
      <c r="H10" s="17" t="n"/>
    </row>
    <row r="11">
      <c r="A11" s="18" t="inlineStr">
        <is>
          <t>Metric</t>
        </is>
      </c>
      <c r="B11" s="18" t="inlineStr">
        <is>
          <t>Year 1</t>
        </is>
      </c>
      <c r="C11" s="18" t="inlineStr">
        <is>
          <t>Year 2</t>
        </is>
      </c>
      <c r="D11" s="18" t="inlineStr">
        <is>
          <t>Year 3</t>
        </is>
      </c>
      <c r="E11" s="18" t="inlineStr">
        <is>
          <t>Year 4</t>
        </is>
      </c>
      <c r="F11" s="18" t="inlineStr">
        <is>
          <t>Year 5</t>
        </is>
      </c>
      <c r="G11" s="1" t="n"/>
      <c r="H11" s="18" t="inlineStr">
        <is>
          <t>Benchmark / Source</t>
        </is>
      </c>
    </row>
    <row r="12">
      <c r="A12" s="19" t="inlineStr">
        <is>
          <t>Total Revenue</t>
        </is>
      </c>
      <c r="B12" s="25">
        <f>'Consolidated'!B12</f>
        <v/>
      </c>
      <c r="C12" s="25">
        <f>'Consolidated'!C12</f>
        <v/>
      </c>
      <c r="D12" s="25">
        <f>'Consolidated'!D12</f>
        <v/>
      </c>
      <c r="E12" s="25">
        <f>'Consolidated'!E12</f>
        <v/>
      </c>
      <c r="F12" s="25">
        <f>'Consolidated'!F12</f>
        <v/>
      </c>
      <c r="H12" s="21" t="inlineStr">
        <is>
          <t>Consolidated P&amp;L — all streams combined.</t>
        </is>
      </c>
    </row>
    <row r="13">
      <c r="A13" s="19" t="inlineStr">
        <is>
          <t>Annual Recurring Revenue (B2B schools)</t>
        </is>
      </c>
      <c r="B13" s="25">
        <f>'School Pipeline'!B36</f>
        <v/>
      </c>
      <c r="C13" s="25">
        <f>'School Pipeline'!C36</f>
        <v/>
      </c>
      <c r="D13" s="25">
        <f>'School Pipeline'!D36</f>
        <v/>
      </c>
      <c r="E13" s="25">
        <f>'School Pipeline'!E36</f>
        <v/>
      </c>
      <c r="F13" s="25">
        <f>'School Pipeline'!F36</f>
        <v/>
      </c>
      <c r="H13" s="21" t="inlineStr">
        <is>
          <t>Closing ARR: EoY schools x effective annual price.</t>
        </is>
      </c>
    </row>
    <row r="14">
      <c r="A14" s="19" t="inlineStr">
        <is>
          <t>ARR growth (YoY)</t>
        </is>
      </c>
      <c r="B14" s="24">
        <f>'School Pipeline'!B37</f>
        <v/>
      </c>
      <c r="C14" s="24">
        <f>'School Pipeline'!C37</f>
        <v/>
      </c>
      <c r="D14" s="24">
        <f>'School Pipeline'!D37</f>
        <v/>
      </c>
      <c r="E14" s="24">
        <f>'School Pipeline'!E37</f>
        <v/>
      </c>
      <c r="F14" s="24">
        <f>'School Pipeline'!F37</f>
        <v/>
      </c>
      <c r="H14" s="21" t="inlineStr">
        <is>
          <t>Y1 = baseline; growth driven by school adds and pricing.</t>
        </is>
      </c>
    </row>
    <row r="15">
      <c r="A15" s="19" t="inlineStr">
        <is>
          <t>Total schools served (B2B + B2G)</t>
        </is>
      </c>
      <c r="B15" s="27">
        <f>'School Pipeline'!B6+'Institutional'!B10</f>
        <v/>
      </c>
      <c r="C15" s="27">
        <f>'School Pipeline'!C6+'Institutional'!C10</f>
        <v/>
      </c>
      <c r="D15" s="27">
        <f>'School Pipeline'!D6+'Institutional'!D10</f>
        <v/>
      </c>
      <c r="E15" s="27">
        <f>'School Pipeline'!E6+'Institutional'!E10</f>
        <v/>
      </c>
      <c r="F15" s="27">
        <f>'School Pipeline'!F6+'Institutional'!F10</f>
        <v/>
      </c>
      <c r="H15" s="21" t="inlineStr">
        <is>
          <t>EoY direct (B2B) + institutional coverage (B2G).</t>
        </is>
      </c>
    </row>
    <row r="16">
      <c r="A16" s="19" t="inlineStr">
        <is>
          <t>Gross Margin</t>
        </is>
      </c>
      <c r="B16" s="24">
        <f>'Consolidated'!B41</f>
        <v/>
      </c>
      <c r="C16" s="24">
        <f>'Consolidated'!C41</f>
        <v/>
      </c>
      <c r="D16" s="24">
        <f>'Consolidated'!D41</f>
        <v/>
      </c>
      <c r="E16" s="24">
        <f>'Consolidated'!E41</f>
        <v/>
      </c>
      <c r="F16" s="24">
        <f>'Consolidated'!F41</f>
        <v/>
      </c>
      <c r="H16" s="21" t="inlineStr">
        <is>
          <t>Target: 70-85% for ed-tech at scale (HolonIQ).</t>
        </is>
      </c>
    </row>
    <row r="17">
      <c r="A17" s="19" t="inlineStr">
        <is>
          <t>EBITDA</t>
        </is>
      </c>
      <c r="B17" s="25">
        <f>'Consolidated'!B59</f>
        <v/>
      </c>
      <c r="C17" s="25">
        <f>'Consolidated'!C59</f>
        <v/>
      </c>
      <c r="D17" s="25">
        <f>'Consolidated'!D59</f>
        <v/>
      </c>
      <c r="E17" s="25">
        <f>'Consolidated'!E59</f>
        <v/>
      </c>
      <c r="F17" s="25">
        <f>'Consolidated'!F59</f>
        <v/>
      </c>
      <c r="H17" s="21" t="inlineStr">
        <is>
          <t>Pre-fee operating profit.</t>
        </is>
      </c>
    </row>
    <row r="18">
      <c r="A18" s="19" t="inlineStr">
        <is>
          <t>EBITDA Margin</t>
        </is>
      </c>
      <c r="B18" s="24">
        <f>'Consolidated'!B60</f>
        <v/>
      </c>
      <c r="C18" s="24">
        <f>'Consolidated'!C60</f>
        <v/>
      </c>
      <c r="D18" s="24">
        <f>'Consolidated'!D60</f>
        <v/>
      </c>
      <c r="E18" s="24">
        <f>'Consolidated'!E60</f>
        <v/>
      </c>
      <c r="F18" s="24">
        <f>'Consolidated'!F60</f>
        <v/>
      </c>
      <c r="H18" s="21" t="inlineStr">
        <is>
          <t>Target &gt;20% at maturity.</t>
        </is>
      </c>
    </row>
    <row r="19">
      <c r="A19" s="19" t="inlineStr">
        <is>
          <t>Net Cash Flow</t>
        </is>
      </c>
      <c r="B19" s="25">
        <f>'Cash Flow'!B8</f>
        <v/>
      </c>
      <c r="C19" s="25">
        <f>'Cash Flow'!C8</f>
        <v/>
      </c>
      <c r="D19" s="25">
        <f>'Cash Flow'!D8</f>
        <v/>
      </c>
      <c r="E19" s="25">
        <f>'Cash Flow'!E8</f>
        <v/>
      </c>
      <c r="F19" s="25">
        <f>'Cash Flow'!F8</f>
        <v/>
      </c>
      <c r="H19" s="21" t="inlineStr">
        <is>
          <t>After working capital adjustment.</t>
        </is>
      </c>
    </row>
    <row r="20">
      <c r="A20" s="19" t="inlineStr">
        <is>
          <t>Cumulative Funding Required</t>
        </is>
      </c>
      <c r="B20" s="25">
        <f>'Cash Flow'!B16</f>
        <v/>
      </c>
      <c r="C20" s="25">
        <f>'Cash Flow'!C16</f>
        <v/>
      </c>
      <c r="D20" s="25">
        <f>'Cash Flow'!D16</f>
        <v/>
      </c>
      <c r="E20" s="25">
        <f>'Cash Flow'!E16</f>
        <v/>
      </c>
      <c r="F20" s="25">
        <f>'Cash Flow'!F16</f>
        <v/>
      </c>
      <c r="H20" s="21" t="inlineStr">
        <is>
          <t>Peak year = minimum raise to reach cash-positive.</t>
        </is>
      </c>
    </row>
    <row r="21">
      <c r="A21" s="19" t="inlineStr">
        <is>
          <t>First cash-positive year</t>
        </is>
      </c>
      <c r="B21" s="37">
        <f>IF('Cash Flow'!B8&gt;0,"Year 1",IF('Cash Flow'!C8&gt;0,"Year 2",IF('Cash Flow'!D8&gt;0,"Year 3",IF('Cash Flow'!E8&gt;0,"Year 4",IF('Cash Flow'!F8&gt;0,"Year 5","Beyond 5-yr horizon")))))</f>
        <v/>
      </c>
      <c r="H21" s="21" t="inlineStr">
        <is>
          <t>Year when annual net cash flow first turns positive.</t>
        </is>
      </c>
    </row>
    <row r="22"/>
    <row r="23">
      <c r="A23" s="16" t="inlineStr">
        <is>
          <t>UNIT ECONOMICS SCORECARD</t>
        </is>
      </c>
      <c r="B23" s="17" t="n"/>
      <c r="C23" s="17" t="n"/>
      <c r="D23" s="17" t="n"/>
      <c r="E23" s="17" t="n"/>
      <c r="F23" s="17" t="n"/>
      <c r="G23" s="17" t="n"/>
      <c r="H23" s="17" t="n"/>
    </row>
    <row r="24">
      <c r="A24" s="18" t="inlineStr">
        <is>
          <t>Metric</t>
        </is>
      </c>
      <c r="B24" s="18" t="inlineStr">
        <is>
          <t>Year 1</t>
        </is>
      </c>
      <c r="C24" s="18" t="inlineStr">
        <is>
          <t>Year 2</t>
        </is>
      </c>
      <c r="D24" s="18" t="inlineStr">
        <is>
          <t>Year 3</t>
        </is>
      </c>
      <c r="E24" s="18" t="inlineStr">
        <is>
          <t>Year 4</t>
        </is>
      </c>
      <c r="F24" s="18" t="inlineStr">
        <is>
          <t>Year 5</t>
        </is>
      </c>
      <c r="G24" s="1" t="n"/>
      <c r="H24" s="18" t="inlineStr">
        <is>
          <t>Benchmark</t>
        </is>
      </c>
    </row>
    <row r="25">
      <c r="A25" s="19" t="inlineStr">
        <is>
          <t>LTV : CAC Ratio</t>
        </is>
      </c>
      <c r="B25" s="38">
        <f>'School Pipeline'!B27</f>
        <v/>
      </c>
      <c r="C25" s="38">
        <f>'School Pipeline'!C27</f>
        <v/>
      </c>
      <c r="D25" s="38">
        <f>'School Pipeline'!D27</f>
        <v/>
      </c>
      <c r="E25" s="38">
        <f>'School Pipeline'!E27</f>
        <v/>
      </c>
      <c r="F25" s="38">
        <f>'School Pipeline'!F27</f>
        <v/>
      </c>
      <c r="H25" s="21" t="inlineStr">
        <is>
          <t>Target &gt;3x (SaaStr / HolonIQ benchmark).</t>
        </is>
      </c>
    </row>
    <row r="26">
      <c r="A26" s="19" t="inlineStr">
        <is>
          <t>CAC Payback (months)</t>
        </is>
      </c>
      <c r="B26" s="38">
        <f>'School Pipeline'!B28</f>
        <v/>
      </c>
      <c r="C26" s="38">
        <f>'School Pipeline'!C28</f>
        <v/>
      </c>
      <c r="D26" s="38">
        <f>'School Pipeline'!D28</f>
        <v/>
      </c>
      <c r="E26" s="38">
        <f>'School Pipeline'!E28</f>
        <v/>
      </c>
      <c r="F26" s="38">
        <f>'School Pipeline'!F28</f>
        <v/>
      </c>
      <c r="H26" s="21" t="inlineStr">
        <is>
          <t>Target &lt;18 months for ed-tech B2B.</t>
        </is>
      </c>
    </row>
    <row r="27">
      <c r="A27" s="19" t="inlineStr">
        <is>
          <t>NRR — Net Revenue Retention</t>
        </is>
      </c>
      <c r="B27" s="24">
        <f>'School Pipeline'!B38</f>
        <v/>
      </c>
      <c r="C27" s="24">
        <f>'School Pipeline'!C38</f>
        <v/>
      </c>
      <c r="D27" s="24">
        <f>'School Pipeline'!D38</f>
        <v/>
      </c>
      <c r="E27" s="24">
        <f>'School Pipeline'!E38</f>
        <v/>
      </c>
      <c r="F27" s="24">
        <f>'School Pipeline'!F38</f>
        <v/>
      </c>
      <c r="H27" s="21" t="inlineStr">
        <is>
          <t>Y2 uplift: pilot-to-full-price transition. Target &gt;100% from Y3.</t>
        </is>
      </c>
    </row>
    <row r="28">
      <c r="A28" s="19" t="inlineStr">
        <is>
          <t>Revenue per School (all channels)</t>
        </is>
      </c>
      <c r="B28" s="25">
        <f>'Consolidated'!B71</f>
        <v/>
      </c>
      <c r="C28" s="25">
        <f>'Consolidated'!C71</f>
        <v/>
      </c>
      <c r="D28" s="25">
        <f>'Consolidated'!D71</f>
        <v/>
      </c>
      <c r="E28" s="25">
        <f>'Consolidated'!E71</f>
        <v/>
      </c>
      <c r="F28" s="25">
        <f>'Consolidated'!F71</f>
        <v/>
      </c>
      <c r="H28" s="21" t="inlineStr">
        <is>
          <t>Blended across B2B, B2G, and ancillary.</t>
        </is>
      </c>
    </row>
    <row r="29">
      <c r="A29" s="19" t="inlineStr">
        <is>
          <t>Revenue per Employee</t>
        </is>
      </c>
      <c r="B29" s="25">
        <f>'Consolidated'!B72</f>
        <v/>
      </c>
      <c r="C29" s="25">
        <f>'Consolidated'!C72</f>
        <v/>
      </c>
      <c r="D29" s="25">
        <f>'Consolidated'!D72</f>
        <v/>
      </c>
      <c r="E29" s="25">
        <f>'Consolidated'!E72</f>
        <v/>
      </c>
      <c r="F29" s="25">
        <f>'Consolidated'!F72</f>
        <v/>
      </c>
      <c r="H29" s="21" t="inlineStr">
        <is>
          <t>Ed-tech benchmark: &gt;$150K by maturity.</t>
        </is>
      </c>
    </row>
    <row r="30">
      <c r="A30" s="19" t="inlineStr">
        <is>
          <t>Active B2C Subscribers</t>
        </is>
      </c>
      <c r="B30" s="27">
        <f>'Consumer (B2C)'!B8</f>
        <v/>
      </c>
      <c r="C30" s="27">
        <f>'Consumer (B2C)'!C8</f>
        <v/>
      </c>
      <c r="D30" s="27">
        <f>'Consumer (B2C)'!D8</f>
        <v/>
      </c>
      <c r="E30" s="27">
        <f>'Consumer (B2C)'!E8</f>
        <v/>
      </c>
      <c r="F30" s="27">
        <f>'Consumer (B2C)'!F8</f>
        <v/>
      </c>
      <c r="H30" s="21" t="inlineStr">
        <is>
          <t>Family subs from school exposure. Launches Y3.</t>
        </is>
      </c>
    </row>
    <row r="31"/>
    <row r="32">
      <c r="A32" s="16" t="inlineStr">
        <is>
          <t>CAPITAL &amp; USE OF PROCEEDS</t>
        </is>
      </c>
      <c r="B32" s="17" t="n"/>
      <c r="C32" s="17" t="n"/>
      <c r="D32" s="17" t="n"/>
      <c r="E32" s="17" t="n"/>
      <c r="F32" s="17" t="n"/>
      <c r="G32" s="17" t="n"/>
      <c r="H32" s="17" t="n"/>
    </row>
    <row r="33">
      <c r="A33" s="39" t="inlineStr">
        <is>
          <t>Category</t>
        </is>
      </c>
      <c r="B33" s="40" t="inlineStr">
        <is>
          <t>Amount</t>
        </is>
      </c>
      <c r="C33" s="40" t="inlineStr">
        <is>
          <t>% of Raise</t>
        </is>
      </c>
      <c r="D33" s="1" t="n"/>
      <c r="E33" s="1" t="n"/>
      <c r="F33" s="1" t="n"/>
      <c r="G33" s="1" t="n"/>
      <c r="H33" s="18" t="inlineStr">
        <is>
          <t>Notes</t>
        </is>
      </c>
    </row>
    <row r="34">
      <c r="A34" s="19" t="inlineStr">
        <is>
          <t xml:space="preserve">  Product &amp; Platform Buildout</t>
        </is>
      </c>
      <c r="B34" s="25">
        <f>ROUND('Parameters'!B102*'Parameters'!B104,0)</f>
        <v/>
      </c>
      <c r="C34" s="24">
        <f>'Parameters'!B104</f>
        <v/>
      </c>
      <c r="H34" s="21" t="inlineStr">
        <is>
          <t>Technology, UX, content management platform.</t>
        </is>
      </c>
    </row>
    <row r="35">
      <c r="A35" s="19" t="inlineStr">
        <is>
          <t xml:space="preserve">  Content Library (launch set)</t>
        </is>
      </c>
      <c r="B35" s="25">
        <f>ROUND('Parameters'!B102*'Parameters'!B105,0)</f>
        <v/>
      </c>
      <c r="C35" s="24">
        <f>'Parameters'!B105</f>
        <v/>
      </c>
      <c r="H35" s="21" t="inlineStr">
        <is>
          <t>Licensing rights for initial titles entering active rotation.</t>
        </is>
      </c>
    </row>
    <row r="36">
      <c r="A36" s="19" t="inlineStr">
        <is>
          <t xml:space="preserve">  Sales &amp; Marketing (pilots)</t>
        </is>
      </c>
      <c r="B36" s="25">
        <f>ROUND('Parameters'!B102*'Parameters'!B106,0)</f>
        <v/>
      </c>
      <c r="C36" s="24">
        <f>'Parameters'!B106</f>
        <v/>
      </c>
      <c r="H36" s="21" t="inlineStr">
        <is>
          <t>School events, conference presence, pilot management.</t>
        </is>
      </c>
    </row>
    <row r="37">
      <c r="A37" s="19" t="inlineStr">
        <is>
          <t xml:space="preserve">  Team (first hires)</t>
        </is>
      </c>
      <c r="B37" s="25">
        <f>ROUND('Parameters'!B102*'Parameters'!B107,0)</f>
        <v/>
      </c>
      <c r="C37" s="24">
        <f>'Parameters'!B107</f>
        <v/>
      </c>
      <c r="H37" s="21" t="inlineStr">
        <is>
          <t>Education lead + technical contractor.</t>
        </is>
      </c>
    </row>
    <row r="38">
      <c r="A38" s="19" t="inlineStr">
        <is>
          <t xml:space="preserve">  Working Capital Reserve</t>
        </is>
      </c>
      <c r="B38" s="25">
        <f>ROUND('Parameters'!B102*'Parameters'!B108,0)</f>
        <v/>
      </c>
      <c r="C38" s="24">
        <f>'Parameters'!B108</f>
        <v/>
      </c>
      <c r="H38" s="21" t="inlineStr">
        <is>
          <t>Buffer for collection lag and contingencies.</t>
        </is>
      </c>
    </row>
    <row r="39">
      <c r="A39" s="29" t="inlineStr">
        <is>
          <t>TOTAL SEED RAISE</t>
        </is>
      </c>
      <c r="B39" s="30">
        <f>'Parameters'!B102</f>
        <v/>
      </c>
      <c r="C39" s="41">
        <f>C34+C35+C36+C37+C38</f>
        <v/>
      </c>
      <c r="H39" s="21" t="inlineStr">
        <is>
          <t>Should equal 100%.</t>
        </is>
      </c>
    </row>
    <row r="40"/>
    <row r="41">
      <c r="A41" s="16" t="inlineStr">
        <is>
          <t>INVESTMENT THESIS</t>
        </is>
      </c>
      <c r="B41" s="17" t="n"/>
      <c r="C41" s="17" t="n"/>
      <c r="D41" s="17" t="n"/>
      <c r="E41" s="17" t="n"/>
      <c r="F41" s="17" t="n"/>
      <c r="G41" s="17" t="n"/>
      <c r="H41" s="17" t="n"/>
    </row>
    <row r="42" ht="22" customHeight="1">
      <c r="A42" s="42" t="inlineStr">
        <is>
          <t xml:space="preserve">  ·  Untapped SaaS market: cinema education is served entirely by manual DVD/USB; no digital infrastructure exists today.</t>
        </is>
      </c>
    </row>
    <row r="43" ht="22" customHeight="1">
      <c r="A43" s="42" t="inlineStr">
        <is>
          <t xml:space="preserve">  ·  Founder-market fit: Aya Al Blouchi is a former Senior Film Programmer &amp; Youth Programmes Specialist at the Doha Film Institute.</t>
        </is>
      </c>
    </row>
    <row r="44" ht="22" customHeight="1">
      <c r="A44" s="42" t="inlineStr">
        <is>
          <t xml:space="preserve">  ·  Pedagogical intelligence layer: the real moat is curriculum-aligned lesson packages, teacher guides, and reflection frameworks that create deep switching costs.</t>
        </is>
      </c>
    </row>
    <row r="45" ht="22" customHeight="1">
      <c r="A45" s="42" t="inlineStr">
        <is>
          <t xml:space="preserve">  ·  B2B2C flywheel: school adoption seeds consumer subscriptions at near-zero CAC as students bring YUSI home.</t>
        </is>
      </c>
    </row>
    <row r="46" ht="22" customHeight="1">
      <c r="A46" s="42" t="inlineStr">
        <is>
          <t xml:space="preserve">  ·  Smoothed institutional path: Y3 pilot proves the model before scale agreements unlock exponential reach in Y4-Y5.</t>
        </is>
      </c>
    </row>
    <row r="47" ht="22" customHeight="1">
      <c r="A47" s="42" t="inlineStr">
        <is>
          <t xml:space="preserve">  ·  Proven content economics: per-title minimums protect the downside; revenue share at scale ensures costs track revenue. 70%+ gross margins at maturity.</t>
        </is>
      </c>
    </row>
  </sheetData>
  <mergeCells count="7">
    <mergeCell ref="B21:F21"/>
    <mergeCell ref="A43:H43"/>
    <mergeCell ref="A42:H42"/>
    <mergeCell ref="A44:H44"/>
    <mergeCell ref="A47:H47"/>
    <mergeCell ref="A45:H45"/>
    <mergeCell ref="A46:H4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8872A"/>
    <outlinePr summaryBelow="1" summaryRight="1"/>
    <pageSetUpPr/>
  </sheetPr>
  <dimension ref="A1:H38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SCHOOL PIPELINE (B2B)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Direct school adoption, pricing, revenue, and unit economics.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SCHOOL DYNAMICS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Metric</t>
        </is>
      </c>
      <c r="B5" s="18" t="inlineStr">
        <is>
          <t>Year 1</t>
        </is>
      </c>
      <c r="C5" s="18" t="inlineStr">
        <is>
          <t>Year 2</t>
        </is>
      </c>
      <c r="D5" s="18" t="inlineStr">
        <is>
          <t>Year 3</t>
        </is>
      </c>
      <c r="E5" s="18" t="inlineStr">
        <is>
          <t>Year 4</t>
        </is>
      </c>
      <c r="F5" s="18" t="inlineStr">
        <is>
          <t>Year 5</t>
        </is>
      </c>
      <c r="G5" s="1" t="n"/>
      <c r="H5" s="18" t="inlineStr">
        <is>
          <t>Notes</t>
        </is>
      </c>
    </row>
    <row r="6">
      <c r="A6" s="19" t="inlineStr">
        <is>
          <t>End-of-year active schools</t>
        </is>
      </c>
      <c r="B6" s="27">
        <f>'Parameters'!B39</f>
        <v/>
      </c>
      <c r="C6" s="27">
        <f>'Parameters'!C39</f>
        <v/>
      </c>
      <c r="D6" s="27">
        <f>'Parameters'!D39</f>
        <v/>
      </c>
      <c r="E6" s="27">
        <f>'Parameters'!E39</f>
        <v/>
      </c>
      <c r="F6" s="27">
        <f>'Parameters'!F39</f>
        <v/>
      </c>
      <c r="H6" s="21" t="inlineStr">
        <is>
          <t>Pulled from Platform Config.</t>
        </is>
      </c>
    </row>
    <row r="7">
      <c r="A7" s="19" t="inlineStr">
        <is>
          <t>Beginning-of-year active schools</t>
        </is>
      </c>
      <c r="B7" s="27">
        <f>0</f>
        <v/>
      </c>
      <c r="C7" s="27">
        <f>B6</f>
        <v/>
      </c>
      <c r="D7" s="27">
        <f>C6</f>
        <v/>
      </c>
      <c r="E7" s="27">
        <f>D6</f>
        <v/>
      </c>
      <c r="F7" s="27">
        <f>E6</f>
        <v/>
      </c>
      <c r="H7" s="21" t="inlineStr">
        <is>
          <t>Prior year carry-forward.</t>
        </is>
      </c>
    </row>
    <row r="8">
      <c r="A8" s="19" t="inlineStr">
        <is>
          <t>Annual churn rate</t>
        </is>
      </c>
      <c r="B8" s="24">
        <f>'Parameters'!B40</f>
        <v/>
      </c>
      <c r="C8" s="24">
        <f>'Parameters'!C40</f>
        <v/>
      </c>
      <c r="D8" s="24">
        <f>'Parameters'!D40</f>
        <v/>
      </c>
      <c r="E8" s="24">
        <f>'Parameters'!E40</f>
        <v/>
      </c>
      <c r="F8" s="24">
        <f>'Parameters'!F40</f>
        <v/>
      </c>
      <c r="H8" s="21" t="inlineStr">
        <is>
          <t>From Platform Config.</t>
        </is>
      </c>
    </row>
    <row r="9">
      <c r="A9" s="19" t="inlineStr">
        <is>
          <t>Churned schools</t>
        </is>
      </c>
      <c r="B9" s="27">
        <f>ROUND(B7*B8,0)</f>
        <v/>
      </c>
      <c r="C9" s="27">
        <f>ROUND(C7*C8,0)</f>
        <v/>
      </c>
      <c r="D9" s="27">
        <f>ROUND(D7*D8,0)</f>
        <v/>
      </c>
      <c r="E9" s="27">
        <f>ROUND(E7*E8,0)</f>
        <v/>
      </c>
      <c r="F9" s="27">
        <f>ROUND(F7*F8,0)</f>
        <v/>
      </c>
      <c r="H9" s="21" t="inlineStr">
        <is>
          <t>Schools lost = opening base x churn rate.</t>
        </is>
      </c>
    </row>
    <row r="10">
      <c r="A10" s="19" t="inlineStr">
        <is>
          <t>Net school adds</t>
        </is>
      </c>
      <c r="B10" s="27">
        <f>B6-B7</f>
        <v/>
      </c>
      <c r="C10" s="27">
        <f>C6-C7</f>
        <v/>
      </c>
      <c r="D10" s="27">
        <f>D6-D7</f>
        <v/>
      </c>
      <c r="E10" s="27">
        <f>E6-E7</f>
        <v/>
      </c>
      <c r="F10" s="27">
        <f>F6-F7</f>
        <v/>
      </c>
      <c r="H10" s="21" t="inlineStr">
        <is>
          <t>Closing minus opening.</t>
        </is>
      </c>
    </row>
    <row r="11">
      <c r="A11" s="19" t="inlineStr">
        <is>
          <t>Gross school adds</t>
        </is>
      </c>
      <c r="B11" s="27">
        <f>B10+B9</f>
        <v/>
      </c>
      <c r="C11" s="27">
        <f>C10+C9</f>
        <v/>
      </c>
      <c r="D11" s="27">
        <f>D10+D9</f>
        <v/>
      </c>
      <c r="E11" s="27">
        <f>E10+E9</f>
        <v/>
      </c>
      <c r="F11" s="27">
        <f>F10+F9</f>
        <v/>
      </c>
      <c r="H11" s="21" t="inlineStr">
        <is>
          <t>Net adds + replacement of churned.</t>
        </is>
      </c>
    </row>
    <row r="12">
      <c r="A12" s="19" t="inlineStr">
        <is>
          <t>Average active schools</t>
        </is>
      </c>
      <c r="B12" s="27">
        <f>ROUND((B7+B6)/2,0)</f>
        <v/>
      </c>
      <c r="C12" s="27">
        <f>ROUND((C7+C6)/2,0)</f>
        <v/>
      </c>
      <c r="D12" s="27">
        <f>ROUND((D7+D6)/2,0)</f>
        <v/>
      </c>
      <c r="E12" s="27">
        <f>ROUND((E7+E6)/2,0)</f>
        <v/>
      </c>
      <c r="F12" s="27">
        <f>ROUND((F7+F6)/2,0)</f>
        <v/>
      </c>
      <c r="H12" s="21" t="inlineStr">
        <is>
          <t>Simple midpoint average for revenue calculation.</t>
        </is>
      </c>
    </row>
    <row r="13"/>
    <row r="14">
      <c r="A14" s="16" t="inlineStr">
        <is>
          <t>2 - REVENUE</t>
        </is>
      </c>
      <c r="B14" s="17" t="n"/>
      <c r="C14" s="17" t="n"/>
      <c r="D14" s="17" t="n"/>
      <c r="E14" s="17" t="n"/>
      <c r="F14" s="17" t="n"/>
      <c r="G14" s="17" t="n"/>
      <c r="H14" s="17" t="n"/>
    </row>
    <row r="15">
      <c r="A15" s="18" t="inlineStr">
        <is>
          <t>Metric</t>
        </is>
      </c>
      <c r="B15" s="18" t="inlineStr">
        <is>
          <t>Year 1</t>
        </is>
      </c>
      <c r="C15" s="18" t="inlineStr">
        <is>
          <t>Year 2</t>
        </is>
      </c>
      <c r="D15" s="18" t="inlineStr">
        <is>
          <t>Year 3</t>
        </is>
      </c>
      <c r="E15" s="18" t="inlineStr">
        <is>
          <t>Year 4</t>
        </is>
      </c>
      <c r="F15" s="18" t="inlineStr">
        <is>
          <t>Year 5</t>
        </is>
      </c>
      <c r="G15" s="1" t="n"/>
      <c r="H15" s="18" t="inlineStr">
        <is>
          <t>Notes</t>
        </is>
      </c>
    </row>
    <row r="16">
      <c r="A16" s="19" t="inlineStr">
        <is>
          <t>Blended annual price per school</t>
        </is>
      </c>
      <c r="B16" s="25">
        <f>'Parameters'!B35</f>
        <v/>
      </c>
      <c r="C16" s="25">
        <f>'Parameters'!C35</f>
        <v/>
      </c>
      <c r="D16" s="25">
        <f>'Parameters'!D35</f>
        <v/>
      </c>
      <c r="E16" s="25">
        <f>'Parameters'!E35</f>
        <v/>
      </c>
      <c r="F16" s="25">
        <f>'Parameters'!F35</f>
        <v/>
      </c>
      <c r="H16" s="21" t="inlineStr">
        <is>
          <t>Tier-weighted average from Platform Config.</t>
        </is>
      </c>
    </row>
    <row r="17">
      <c r="A17" s="19" t="inlineStr">
        <is>
          <t>Pilot discount rate</t>
        </is>
      </c>
      <c r="B17" s="24">
        <f>'Parameters'!B26</f>
        <v/>
      </c>
      <c r="C17" s="24">
        <f>'Parameters'!C26</f>
        <v/>
      </c>
      <c r="D17" s="24">
        <f>'Parameters'!D26</f>
        <v/>
      </c>
      <c r="E17" s="24">
        <f>'Parameters'!E26</f>
        <v/>
      </c>
      <c r="F17" s="24">
        <f>'Parameters'!F26</f>
        <v/>
      </c>
      <c r="H17" s="21" t="inlineStr">
        <is>
          <t>From Platform Config.</t>
        </is>
      </c>
    </row>
    <row r="18">
      <c r="A18" s="19" t="inlineStr">
        <is>
          <t>Effective annual price per school</t>
        </is>
      </c>
      <c r="B18" s="25">
        <f>ROUND(B16*(1-B17),0)</f>
        <v/>
      </c>
      <c r="C18" s="25">
        <f>ROUND(C16*(1-C17),0)</f>
        <v/>
      </c>
      <c r="D18" s="25">
        <f>ROUND(D16*(1-D17),0)</f>
        <v/>
      </c>
      <c r="E18" s="25">
        <f>ROUND(E16*(1-E17),0)</f>
        <v/>
      </c>
      <c r="F18" s="25">
        <f>ROUND(F16*(1-F17),0)</f>
        <v/>
      </c>
      <c r="H18" s="21" t="inlineStr">
        <is>
          <t>After pilot discount.</t>
        </is>
      </c>
    </row>
    <row r="19">
      <c r="A19" s="29" t="inlineStr">
        <is>
          <t>TOTAL B2B SCHOOL REVENUE</t>
        </is>
      </c>
      <c r="B19" s="30">
        <f>ROUND(B12*B18,0)</f>
        <v/>
      </c>
      <c r="C19" s="30">
        <f>ROUND(C12*C18,0)</f>
        <v/>
      </c>
      <c r="D19" s="30">
        <f>ROUND(D12*D18,0)</f>
        <v/>
      </c>
      <c r="E19" s="30">
        <f>ROUND(E12*E18,0)</f>
        <v/>
      </c>
      <c r="F19" s="30">
        <f>ROUND(F12*F18,0)</f>
        <v/>
      </c>
      <c r="H19" s="21" t="inlineStr">
        <is>
          <t>Average active schools x effective annual price.</t>
        </is>
      </c>
    </row>
    <row r="20"/>
    <row r="21">
      <c r="A21" s="16" t="inlineStr">
        <is>
          <t>3 - UNIT ECONOMICS</t>
        </is>
      </c>
      <c r="B21" s="17" t="n"/>
      <c r="C21" s="17" t="n"/>
      <c r="D21" s="17" t="n"/>
      <c r="E21" s="17" t="n"/>
      <c r="F21" s="17" t="n"/>
      <c r="G21" s="17" t="n"/>
      <c r="H21" s="17" t="n"/>
    </row>
    <row r="22">
      <c r="A22" s="18" t="inlineStr">
        <is>
          <t>Metric</t>
        </is>
      </c>
      <c r="B22" s="18" t="inlineStr">
        <is>
          <t>Year 1</t>
        </is>
      </c>
      <c r="C22" s="18" t="inlineStr">
        <is>
          <t>Year 2</t>
        </is>
      </c>
      <c r="D22" s="18" t="inlineStr">
        <is>
          <t>Year 3</t>
        </is>
      </c>
      <c r="E22" s="18" t="inlineStr">
        <is>
          <t>Year 4</t>
        </is>
      </c>
      <c r="F22" s="18" t="inlineStr">
        <is>
          <t>Year 5</t>
        </is>
      </c>
      <c r="G22" s="1" t="n"/>
      <c r="H22" s="18" t="inlineStr">
        <is>
          <t>Notes</t>
        </is>
      </c>
    </row>
    <row r="23">
      <c r="A23" s="19" t="inlineStr">
        <is>
          <t>School CAC</t>
        </is>
      </c>
      <c r="B23" s="25">
        <f>'Parameters'!B41</f>
        <v/>
      </c>
      <c r="C23" s="25">
        <f>'Parameters'!C41</f>
        <v/>
      </c>
      <c r="D23" s="25">
        <f>'Parameters'!D41</f>
        <v/>
      </c>
      <c r="E23" s="25">
        <f>'Parameters'!E41</f>
        <v/>
      </c>
      <c r="F23" s="25">
        <f>'Parameters'!F41</f>
        <v/>
      </c>
      <c r="H23" s="21" t="inlineStr">
        <is>
          <t>From Platform Config.</t>
        </is>
      </c>
    </row>
    <row r="24">
      <c r="A24" s="19" t="inlineStr">
        <is>
          <t>Total paid acquisition spend</t>
        </is>
      </c>
      <c r="B24" s="25">
        <f>ROUND(B11*(1-'Parameters'!B42)*B23,0)</f>
        <v/>
      </c>
      <c r="C24" s="25">
        <f>ROUND(C11*(1-'Parameters'!C42)*C23,0)</f>
        <v/>
      </c>
      <c r="D24" s="25">
        <f>ROUND(D11*(1-'Parameters'!D42)*D23,0)</f>
        <v/>
      </c>
      <c r="E24" s="25">
        <f>ROUND(E11*(1-'Parameters'!E42)*E23,0)</f>
        <v/>
      </c>
      <c r="F24" s="25">
        <f>ROUND(F11*(1-'Parameters'!F42)*F23,0)</f>
        <v/>
      </c>
      <c r="H24" s="21" t="inlineStr">
        <is>
          <t>Gross adds x CAC (all B2B is paid).</t>
        </is>
      </c>
    </row>
    <row r="25"/>
    <row r="26">
      <c r="A26" s="19" t="inlineStr">
        <is>
          <t>LTV per school (annual price / churn)</t>
        </is>
      </c>
      <c r="B26" s="25">
        <f>IF(B8&gt;0,B18/B8,0)</f>
        <v/>
      </c>
      <c r="C26" s="25">
        <f>IF(C8&gt;0,C18/C8,0)</f>
        <v/>
      </c>
      <c r="D26" s="25">
        <f>IF(D8&gt;0,D18/D8,0)</f>
        <v/>
      </c>
      <c r="E26" s="25">
        <f>IF(E8&gt;0,E18/E8,0)</f>
        <v/>
      </c>
      <c r="F26" s="25">
        <f>IF(F8&gt;0,F18/F8,0)</f>
        <v/>
      </c>
      <c r="H26" s="21" t="inlineStr">
        <is>
          <t>LTV should be &gt;3x CAC for ed-tech B2B.</t>
        </is>
      </c>
    </row>
    <row r="27">
      <c r="A27" s="19" t="inlineStr">
        <is>
          <t>LTV:CAC ratio</t>
        </is>
      </c>
      <c r="B27" s="38">
        <f>IF(B23&gt;0,B26/B23,0)</f>
        <v/>
      </c>
      <c r="C27" s="38">
        <f>IF(C23&gt;0,C26/C23,0)</f>
        <v/>
      </c>
      <c r="D27" s="38">
        <f>IF(D23&gt;0,D26/D23,0)</f>
        <v/>
      </c>
      <c r="E27" s="38">
        <f>IF(E23&gt;0,E26/E23,0)</f>
        <v/>
      </c>
      <c r="F27" s="38">
        <f>IF(F23&gt;0,F26/F23,0)</f>
        <v/>
      </c>
      <c r="H27" s="21" t="inlineStr">
        <is>
          <t>Target: &gt;3:1 (SaaStr / HolonIQ benchmark).</t>
        </is>
      </c>
    </row>
    <row r="28">
      <c r="A28" s="19" t="inlineStr">
        <is>
          <t>Payback period (months)</t>
        </is>
      </c>
      <c r="B28" s="38">
        <f>IF(B18&gt;0,B23/(B18/12),0)</f>
        <v/>
      </c>
      <c r="C28" s="38">
        <f>IF(C18&gt;0,C23/(C18/12),0)</f>
        <v/>
      </c>
      <c r="D28" s="38">
        <f>IF(D18&gt;0,D23/(D18/12),0)</f>
        <v/>
      </c>
      <c r="E28" s="38">
        <f>IF(E18&gt;0,E23/(E18/12),0)</f>
        <v/>
      </c>
      <c r="F28" s="38">
        <f>IF(F18&gt;0,F23/(F18/12),0)</f>
        <v/>
      </c>
      <c r="H28" s="21" t="inlineStr">
        <is>
          <t>Months to recoup CAC from subscription revenue.</t>
        </is>
      </c>
    </row>
    <row r="29"/>
    <row r="30">
      <c r="A30" s="16" t="inlineStr">
        <is>
          <t>4 - ARR ANALYTICS</t>
        </is>
      </c>
      <c r="B30" s="17" t="n"/>
      <c r="C30" s="17" t="n"/>
      <c r="D30" s="17" t="n"/>
      <c r="E30" s="17" t="n"/>
      <c r="F30" s="17" t="n"/>
      <c r="G30" s="17" t="n"/>
      <c r="H30" s="17" t="n"/>
    </row>
    <row r="31">
      <c r="A31" s="18" t="inlineStr">
        <is>
          <t>Metric</t>
        </is>
      </c>
      <c r="B31" s="18" t="inlineStr">
        <is>
          <t>Year 1</t>
        </is>
      </c>
      <c r="C31" s="18" t="inlineStr">
        <is>
          <t>Year 2</t>
        </is>
      </c>
      <c r="D31" s="18" t="inlineStr">
        <is>
          <t>Year 3</t>
        </is>
      </c>
      <c r="E31" s="18" t="inlineStr">
        <is>
          <t>Year 4</t>
        </is>
      </c>
      <c r="F31" s="18" t="inlineStr">
        <is>
          <t>Year 5</t>
        </is>
      </c>
      <c r="G31" s="1" t="n"/>
      <c r="H31" s="18" t="inlineStr">
        <is>
          <t>Notes</t>
        </is>
      </c>
    </row>
    <row r="32">
      <c r="A32" s="19" t="inlineStr">
        <is>
          <t>Opening ARR</t>
        </is>
      </c>
      <c r="B32" s="25">
        <f>0</f>
        <v/>
      </c>
      <c r="C32" s="25">
        <f>B36</f>
        <v/>
      </c>
      <c r="D32" s="25">
        <f>C36</f>
        <v/>
      </c>
      <c r="E32" s="25">
        <f>D36</f>
        <v/>
      </c>
      <c r="F32" s="25">
        <f>E36</f>
        <v/>
      </c>
      <c r="H32" s="21" t="inlineStr">
        <is>
          <t>Prior year closing ARR (Y1 = $0, first year).</t>
        </is>
      </c>
    </row>
    <row r="33">
      <c r="A33" s="19" t="inlineStr">
        <is>
          <t>Gross new ARR</t>
        </is>
      </c>
      <c r="B33" s="25">
        <f>ROUND(B11*B18,0)</f>
        <v/>
      </c>
      <c r="C33" s="25">
        <f>ROUND(C11*C18,0)</f>
        <v/>
      </c>
      <c r="D33" s="25">
        <f>ROUND(D11*D18,0)</f>
        <v/>
      </c>
      <c r="E33" s="25">
        <f>ROUND(E11*E18,0)</f>
        <v/>
      </c>
      <c r="F33" s="25">
        <f>ROUND(F11*F18,0)</f>
        <v/>
      </c>
      <c r="H33" s="21" t="inlineStr">
        <is>
          <t>Gross adds x effective annual price.</t>
        </is>
      </c>
    </row>
    <row r="34">
      <c r="A34" s="19" t="inlineStr">
        <is>
          <t>Churned ARR</t>
        </is>
      </c>
      <c r="B34" s="25">
        <f>0</f>
        <v/>
      </c>
      <c r="C34" s="25">
        <f>ROUND(C9*B18,0)</f>
        <v/>
      </c>
      <c r="D34" s="25">
        <f>ROUND(D9*C18,0)</f>
        <v/>
      </c>
      <c r="E34" s="25">
        <f>ROUND(E9*D18,0)</f>
        <v/>
      </c>
      <c r="F34" s="25">
        <f>ROUND(F9*E18,0)</f>
        <v/>
      </c>
      <c r="H34" s="21" t="inlineStr">
        <is>
          <t>Churned schools x prior-year price. Y1 = $0.</t>
        </is>
      </c>
    </row>
    <row r="35">
      <c r="A35" s="19" t="inlineStr">
        <is>
          <t>Net new ARR</t>
        </is>
      </c>
      <c r="B35" s="25">
        <f>B33-B34</f>
        <v/>
      </c>
      <c r="C35" s="25">
        <f>C33-C34</f>
        <v/>
      </c>
      <c r="D35" s="25">
        <f>D33-D34</f>
        <v/>
      </c>
      <c r="E35" s="25">
        <f>E33-E34</f>
        <v/>
      </c>
      <c r="F35" s="25">
        <f>F33-F34</f>
        <v/>
      </c>
    </row>
    <row r="36">
      <c r="A36" s="29" t="inlineStr">
        <is>
          <t>CLOSING ARR</t>
        </is>
      </c>
      <c r="B36" s="30">
        <f>ROUND(B6*B18,0)</f>
        <v/>
      </c>
      <c r="C36" s="30">
        <f>ROUND(C6*C18,0)</f>
        <v/>
      </c>
      <c r="D36" s="30">
        <f>ROUND(D6*D18,0)</f>
        <v/>
      </c>
      <c r="E36" s="30">
        <f>ROUND(E6*E18,0)</f>
        <v/>
      </c>
      <c r="F36" s="30">
        <f>ROUND(F6*F18,0)</f>
        <v/>
      </c>
      <c r="H36" s="21" t="inlineStr">
        <is>
          <t>EoY active schools x effective annual price.</t>
        </is>
      </c>
    </row>
    <row r="37">
      <c r="A37" s="19" t="inlineStr">
        <is>
          <t>YoY ARR growth</t>
        </is>
      </c>
      <c r="B37" s="24">
        <f>0</f>
        <v/>
      </c>
      <c r="C37" s="24">
        <f>IF(B36&gt;0,(C36-B36)/B36,0)</f>
        <v/>
      </c>
      <c r="D37" s="24">
        <f>IF(C36&gt;0,(D36-C36)/C36,0)</f>
        <v/>
      </c>
      <c r="E37" s="24">
        <f>IF(D36&gt;0,(E36-D36)/D36,0)</f>
        <v/>
      </c>
      <c r="F37" s="24">
        <f>IF(E36&gt;0,(F36-E36)/E36,0)</f>
        <v/>
      </c>
      <c r="H37" s="21" t="inlineStr">
        <is>
          <t>Y1 = baseline period.</t>
        </is>
      </c>
    </row>
    <row r="38">
      <c r="A38" s="19" t="inlineStr">
        <is>
          <t>NRR — Net Revenue Retention</t>
        </is>
      </c>
      <c r="B38" s="24">
        <f>0</f>
        <v/>
      </c>
      <c r="C38" s="24">
        <f>IF(B36&gt;0,(C7-C9)*C18*(1+'Parameters'!C130)/B36,0)</f>
        <v/>
      </c>
      <c r="D38" s="24">
        <f>IF(C36&gt;0,(D7-D9)*D18*(1+'Parameters'!D130)/C36,0)</f>
        <v/>
      </c>
      <c r="E38" s="24">
        <f>IF(D36&gt;0,(E7-E9)*E18*(1+'Parameters'!E130)/D36,0)</f>
        <v/>
      </c>
      <c r="F38" s="24">
        <f>IF(E36&gt;0,(F7-F9)*F18*(1+'Parameters'!F130)/E36,0)</f>
        <v/>
      </c>
      <c r="H38" s="21" t="inlineStr">
        <is>
          <t>Includes grade-band upsell expansion. Y2 uplift from pilot-to-full-price transition.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8872A"/>
    <outlinePr summaryBelow="1" summaryRight="1"/>
    <pageSetUpPr/>
  </sheetPr>
  <dimension ref="A1:H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INSTITUTIONAL (B2G)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Public sector, NGO, and institutional partnership dynamics and revenue.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PARTNERSHIP DYNAMICS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Metric</t>
        </is>
      </c>
      <c r="B5" s="18" t="inlineStr">
        <is>
          <t>Year 1</t>
        </is>
      </c>
      <c r="C5" s="18" t="inlineStr">
        <is>
          <t>Year 2</t>
        </is>
      </c>
      <c r="D5" s="18" t="inlineStr">
        <is>
          <t>Year 3</t>
        </is>
      </c>
      <c r="E5" s="18" t="inlineStr">
        <is>
          <t>Year 4</t>
        </is>
      </c>
      <c r="F5" s="18" t="inlineStr">
        <is>
          <t>Year 5</t>
        </is>
      </c>
      <c r="G5" s="1" t="n"/>
      <c r="H5" s="18" t="inlineStr">
        <is>
          <t>Notes</t>
        </is>
      </c>
    </row>
    <row r="6">
      <c r="A6" s="19" t="inlineStr">
        <is>
          <t>Active institutional agreements (end-of-year)</t>
        </is>
      </c>
      <c r="B6" s="27">
        <f>'Parameters'!B47</f>
        <v/>
      </c>
      <c r="C6" s="27">
        <f>'Parameters'!C47</f>
        <v/>
      </c>
      <c r="D6" s="27">
        <f>'Parameters'!D47</f>
        <v/>
      </c>
      <c r="E6" s="27">
        <f>'Parameters'!E47</f>
        <v/>
      </c>
      <c r="F6" s="27">
        <f>'Parameters'!F47</f>
        <v/>
      </c>
      <c r="H6" s="21" t="inlineStr">
        <is>
          <t>From Platform Config.</t>
        </is>
      </c>
    </row>
    <row r="7">
      <c r="A7" s="19" t="inlineStr">
        <is>
          <t>Beginning-of-year agreements</t>
        </is>
      </c>
      <c r="B7" s="27">
        <f>0</f>
        <v/>
      </c>
      <c r="C7" s="27">
        <f>B6</f>
        <v/>
      </c>
      <c r="D7" s="27">
        <f>C6</f>
        <v/>
      </c>
      <c r="E7" s="27">
        <f>D6</f>
        <v/>
      </c>
      <c r="F7" s="27">
        <f>E6</f>
        <v/>
      </c>
      <c r="H7" s="21" t="inlineStr">
        <is>
          <t>Prior year carry-forward.</t>
        </is>
      </c>
    </row>
    <row r="8">
      <c r="A8" s="19" t="inlineStr">
        <is>
          <t>New agreements this year</t>
        </is>
      </c>
      <c r="B8" s="27">
        <f>B6-B7</f>
        <v/>
      </c>
      <c r="C8" s="27">
        <f>C6-C7</f>
        <v/>
      </c>
      <c r="D8" s="27">
        <f>D6-D7</f>
        <v/>
      </c>
      <c r="E8" s="27">
        <f>E6-E7</f>
        <v/>
      </c>
      <c r="F8" s="27">
        <f>F6-F7</f>
        <v/>
      </c>
      <c r="H8" s="21" t="inlineStr">
        <is>
          <t>Net new institutional agreements signed.</t>
        </is>
      </c>
    </row>
    <row r="9">
      <c r="A9" s="19" t="inlineStr">
        <is>
          <t>Schools per agreement</t>
        </is>
      </c>
      <c r="B9" s="27">
        <f>'Parameters'!B48</f>
        <v/>
      </c>
      <c r="C9" s="27">
        <f>'Parameters'!C48</f>
        <v/>
      </c>
      <c r="D9" s="27">
        <f>'Parameters'!D48</f>
        <v/>
      </c>
      <c r="E9" s="27">
        <f>'Parameters'!E48</f>
        <v/>
      </c>
      <c r="F9" s="27">
        <f>'Parameters'!F48</f>
        <v/>
      </c>
      <c r="H9" s="21" t="inlineStr">
        <is>
          <t>From Platform Config.</t>
        </is>
      </c>
    </row>
    <row r="10">
      <c r="A10" s="19" t="inlineStr">
        <is>
          <t>Total institutional schools (end-of-year)</t>
        </is>
      </c>
      <c r="B10" s="27">
        <f>ROUND(B6*B9,0)</f>
        <v/>
      </c>
      <c r="C10" s="27">
        <f>ROUND(C6*C9,0)</f>
        <v/>
      </c>
      <c r="D10" s="27">
        <f>ROUND(D6*D9,0)</f>
        <v/>
      </c>
      <c r="E10" s="27">
        <f>ROUND(E6*E9,0)</f>
        <v/>
      </c>
      <c r="F10" s="27">
        <f>ROUND(F6*F9,0)</f>
        <v/>
      </c>
      <c r="H10" s="21" t="inlineStr">
        <is>
          <t>Active agreements x schools per agreement.</t>
        </is>
      </c>
    </row>
    <row r="11">
      <c r="A11" s="19" t="inlineStr">
        <is>
          <t>Average institutional schools</t>
        </is>
      </c>
      <c r="B11" s="27">
        <f>ROUND((B7*B9+B6*B9)/2,0)</f>
        <v/>
      </c>
      <c r="C11" s="27">
        <f>ROUND((C7*C9+C6*C9)/2,0)</f>
        <v/>
      </c>
      <c r="D11" s="27">
        <f>ROUND((D7*D9+D6*D9)/2,0)</f>
        <v/>
      </c>
      <c r="E11" s="27">
        <f>ROUND((E7*E9+E6*E9)/2,0)</f>
        <v/>
      </c>
      <c r="F11" s="27">
        <f>ROUND((F7*F9+F6*F9)/2,0)</f>
        <v/>
      </c>
      <c r="H11" s="21" t="inlineStr">
        <is>
          <t>Midpoint for revenue calculation.</t>
        </is>
      </c>
    </row>
    <row r="12"/>
    <row r="13">
      <c r="A13" s="16" t="inlineStr">
        <is>
          <t>2 - PRICING &amp; REVENUE</t>
        </is>
      </c>
      <c r="B13" s="17" t="n"/>
      <c r="C13" s="17" t="n"/>
      <c r="D13" s="17" t="n"/>
      <c r="E13" s="17" t="n"/>
      <c r="F13" s="17" t="n"/>
      <c r="G13" s="17" t="n"/>
      <c r="H13" s="17" t="n"/>
    </row>
    <row r="14">
      <c r="A14" s="18" t="inlineStr">
        <is>
          <t>Metric</t>
        </is>
      </c>
      <c r="B14" s="18" t="inlineStr">
        <is>
          <t>Year 1</t>
        </is>
      </c>
      <c r="C14" s="18" t="inlineStr">
        <is>
          <t>Year 2</t>
        </is>
      </c>
      <c r="D14" s="18" t="inlineStr">
        <is>
          <t>Year 3</t>
        </is>
      </c>
      <c r="E14" s="18" t="inlineStr">
        <is>
          <t>Year 4</t>
        </is>
      </c>
      <c r="F14" s="18" t="inlineStr">
        <is>
          <t>Year 5</t>
        </is>
      </c>
      <c r="G14" s="1" t="n"/>
      <c r="H14" s="18" t="inlineStr">
        <is>
          <t>Notes</t>
        </is>
      </c>
    </row>
    <row r="15">
      <c r="A15" s="19" t="inlineStr">
        <is>
          <t>Direct blended price per school</t>
        </is>
      </c>
      <c r="B15" s="25">
        <f>'Parameters'!B35</f>
        <v/>
      </c>
      <c r="C15" s="25">
        <f>'Parameters'!C35</f>
        <v/>
      </c>
      <c r="D15" s="25">
        <f>'Parameters'!D35</f>
        <v/>
      </c>
      <c r="E15" s="25">
        <f>'Parameters'!E35</f>
        <v/>
      </c>
      <c r="F15" s="25">
        <f>'Parameters'!F35</f>
        <v/>
      </c>
      <c r="H15" s="21" t="inlineStr">
        <is>
          <t>Reference: direct B2B school price.</t>
        </is>
      </c>
    </row>
    <row r="16">
      <c r="A16" s="19" t="inlineStr">
        <is>
          <t>Institutional discount</t>
        </is>
      </c>
      <c r="B16" s="24">
        <f>'Parameters'!B49</f>
        <v/>
      </c>
      <c r="C16" s="24">
        <f>'Parameters'!C49</f>
        <v/>
      </c>
      <c r="D16" s="24">
        <f>'Parameters'!D49</f>
        <v/>
      </c>
      <c r="E16" s="24">
        <f>'Parameters'!E49</f>
        <v/>
      </c>
      <c r="F16" s="24">
        <f>'Parameters'!F49</f>
        <v/>
      </c>
      <c r="H16" s="21" t="inlineStr">
        <is>
          <t>Benchmark: public sector bulk discount 20-40%.</t>
        </is>
      </c>
    </row>
    <row r="17">
      <c r="A17" s="19" t="inlineStr">
        <is>
          <t>Institutional per-school rate</t>
        </is>
      </c>
      <c r="B17" s="25">
        <f>ROUND(B15*(1-B16),0)</f>
        <v/>
      </c>
      <c r="C17" s="25">
        <f>ROUND(C15*(1-C16),0)</f>
        <v/>
      </c>
      <c r="D17" s="25">
        <f>ROUND(D15*(1-D16),0)</f>
        <v/>
      </c>
      <c r="E17" s="25">
        <f>ROUND(E15*(1-E16),0)</f>
        <v/>
      </c>
      <c r="F17" s="25">
        <f>ROUND(F15*(1-F16),0)</f>
        <v/>
      </c>
      <c r="H17" s="21" t="inlineStr">
        <is>
          <t>Discounted rate applied to all covered schools.</t>
        </is>
      </c>
    </row>
    <row r="18">
      <c r="A18" s="29" t="inlineStr">
        <is>
          <t>TOTAL INSTITUTIONAL REVENUE</t>
        </is>
      </c>
      <c r="B18" s="30">
        <f>ROUND(B11*B17,0)</f>
        <v/>
      </c>
      <c r="C18" s="30">
        <f>ROUND(C11*C17,0)</f>
        <v/>
      </c>
      <c r="D18" s="30">
        <f>ROUND(D11*D17,0)</f>
        <v/>
      </c>
      <c r="E18" s="30">
        <f>ROUND(E11*E17,0)</f>
        <v/>
      </c>
      <c r="F18" s="30">
        <f>ROUND(F11*F17,0)</f>
        <v/>
      </c>
      <c r="H18" s="21" t="inlineStr">
        <is>
          <t>Avg institutional schools x per-school rate.</t>
        </is>
      </c>
    </row>
    <row r="19"/>
    <row r="20">
      <c r="A20" s="16" t="inlineStr">
        <is>
          <t>3 - KEY METRICS</t>
        </is>
      </c>
      <c r="B20" s="17" t="n"/>
      <c r="C20" s="17" t="n"/>
      <c r="D20" s="17" t="n"/>
      <c r="E20" s="17" t="n"/>
      <c r="F20" s="17" t="n"/>
      <c r="G20" s="17" t="n"/>
      <c r="H20" s="17" t="n"/>
    </row>
    <row r="21">
      <c r="A21" s="18" t="inlineStr">
        <is>
          <t>Metric</t>
        </is>
      </c>
      <c r="B21" s="18" t="inlineStr">
        <is>
          <t>Year 1</t>
        </is>
      </c>
      <c r="C21" s="18" t="inlineStr">
        <is>
          <t>Year 2</t>
        </is>
      </c>
      <c r="D21" s="18" t="inlineStr">
        <is>
          <t>Year 3</t>
        </is>
      </c>
      <c r="E21" s="18" t="inlineStr">
        <is>
          <t>Year 4</t>
        </is>
      </c>
      <c r="F21" s="18" t="inlineStr">
        <is>
          <t>Year 5</t>
        </is>
      </c>
      <c r="G21" s="1" t="n"/>
      <c r="H21" s="18" t="inlineStr">
        <is>
          <t>Notes</t>
        </is>
      </c>
    </row>
    <row r="22">
      <c r="A22" s="19" t="inlineStr">
        <is>
          <t>Average agreement value</t>
        </is>
      </c>
      <c r="B22" s="25">
        <f>IF(B6&gt;0,B18/B6,0)</f>
        <v/>
      </c>
      <c r="C22" s="25">
        <f>IF(C6&gt;0,C18/C6,0)</f>
        <v/>
      </c>
      <c r="D22" s="25">
        <f>IF(D6&gt;0,D18/D6,0)</f>
        <v/>
      </c>
      <c r="E22" s="25">
        <f>IF(E6&gt;0,E18/E6,0)</f>
        <v/>
      </c>
      <c r="F22" s="25">
        <f>IF(F6&gt;0,F18/F6,0)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C8872A"/>
    <outlinePr summaryBelow="1" summaryRight="1"/>
    <pageSetUpPr/>
  </sheetPr>
  <dimension ref="A1:H28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CONSUMER (B2C HOME)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Students discover YUSI in school, families subscribe at home. Revenue launches Year 3.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SUBSCRIBER BASE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Metric</t>
        </is>
      </c>
      <c r="B5" s="18" t="inlineStr">
        <is>
          <t>Year 1</t>
        </is>
      </c>
      <c r="C5" s="18" t="inlineStr">
        <is>
          <t>Year 2</t>
        </is>
      </c>
      <c r="D5" s="18" t="inlineStr">
        <is>
          <t>Year 3</t>
        </is>
      </c>
      <c r="E5" s="18" t="inlineStr">
        <is>
          <t>Year 4</t>
        </is>
      </c>
      <c r="F5" s="18" t="inlineStr">
        <is>
          <t>Year 5</t>
        </is>
      </c>
      <c r="G5" s="1" t="n"/>
      <c r="H5" s="18" t="inlineStr">
        <is>
          <t>Notes</t>
        </is>
      </c>
    </row>
    <row r="6">
      <c r="A6" s="19" t="inlineStr">
        <is>
          <t>Total schools (all channels, avg)</t>
        </is>
      </c>
      <c r="B6" s="27">
        <f>'School Pipeline'!B12+'Institutional'!B11</f>
        <v/>
      </c>
      <c r="C6" s="27">
        <f>'School Pipeline'!C12+'Institutional'!C11</f>
        <v/>
      </c>
      <c r="D6" s="27">
        <f>'School Pipeline'!D12+'Institutional'!D11</f>
        <v/>
      </c>
      <c r="E6" s="27">
        <f>'School Pipeline'!E12+'Institutional'!E11</f>
        <v/>
      </c>
      <c r="F6" s="27">
        <f>'School Pipeline'!F12+'Institutional'!F11</f>
        <v/>
      </c>
      <c r="H6" s="21" t="inlineStr">
        <is>
          <t>B2B + institutional average active schools.</t>
        </is>
      </c>
    </row>
    <row r="7">
      <c r="A7" s="19" t="inlineStr">
        <is>
          <t>Active subscribers per school</t>
        </is>
      </c>
      <c r="B7" s="27">
        <f>'Parameters'!B121</f>
        <v/>
      </c>
      <c r="C7" s="27">
        <f>'Parameters'!C121</f>
        <v/>
      </c>
      <c r="D7" s="27">
        <f>'Parameters'!D121</f>
        <v/>
      </c>
      <c r="E7" s="27">
        <f>'Parameters'!E121</f>
        <v/>
      </c>
      <c r="F7" s="27">
        <f>'Parameters'!F121</f>
        <v/>
      </c>
      <c r="H7" s="21" t="inlineStr">
        <is>
          <t>From Parameters. Grows as product embeds.</t>
        </is>
      </c>
    </row>
    <row r="8">
      <c r="A8" s="19" t="inlineStr">
        <is>
          <t>Total active subscribers</t>
        </is>
      </c>
      <c r="B8" s="27">
        <f>ROUND(B6*B7,0)</f>
        <v/>
      </c>
      <c r="C8" s="27">
        <f>ROUND(C6*C7,0)</f>
        <v/>
      </c>
      <c r="D8" s="27">
        <f>ROUND(D6*D7,0)</f>
        <v/>
      </c>
      <c r="E8" s="27">
        <f>ROUND(E6*E7,0)</f>
        <v/>
      </c>
      <c r="F8" s="27">
        <f>ROUND(F6*F7,0)</f>
        <v/>
      </c>
      <c r="H8" s="21" t="inlineStr">
        <is>
          <t>Schools x subs per school.</t>
        </is>
      </c>
    </row>
    <row r="9">
      <c r="A9" s="19" t="inlineStr">
        <is>
          <t>Annual consumer churn</t>
        </is>
      </c>
      <c r="B9" s="24">
        <f>'Parameters'!B122</f>
        <v/>
      </c>
      <c r="C9" s="24">
        <f>'Parameters'!C122</f>
        <v/>
      </c>
      <c r="D9" s="24">
        <f>'Parameters'!D122</f>
        <v/>
      </c>
      <c r="E9" s="24">
        <f>'Parameters'!E122</f>
        <v/>
      </c>
      <c r="F9" s="24">
        <f>'Parameters'!F122</f>
        <v/>
      </c>
    </row>
    <row r="10">
      <c r="A10" s="19" t="inlineStr">
        <is>
          <t>Churned subscribers (memo)</t>
        </is>
      </c>
      <c r="B10" s="27">
        <f>ROUND(B8*B9,0)</f>
        <v/>
      </c>
      <c r="C10" s="27">
        <f>ROUND(C8*C9,0)</f>
        <v/>
      </c>
      <c r="D10" s="27">
        <f>ROUND(D8*D9,0)</f>
        <v/>
      </c>
      <c r="E10" s="27">
        <f>ROUND(E8*E9,0)</f>
        <v/>
      </c>
      <c r="F10" s="27">
        <f>ROUND(F8*F9,0)</f>
        <v/>
      </c>
      <c r="H10" s="21" t="inlineStr">
        <is>
          <t>For reference only. Net base in row 8.</t>
        </is>
      </c>
    </row>
    <row r="11"/>
    <row r="12">
      <c r="A12" s="16" t="inlineStr">
        <is>
          <t>2 - CONSUMER REVENUE</t>
        </is>
      </c>
      <c r="B12" s="17" t="n"/>
      <c r="C12" s="17" t="n"/>
      <c r="D12" s="17" t="n"/>
      <c r="E12" s="17" t="n"/>
      <c r="F12" s="17" t="n"/>
      <c r="G12" s="17" t="n"/>
      <c r="H12" s="17" t="n"/>
    </row>
    <row r="13">
      <c r="A13" s="18" t="inlineStr">
        <is>
          <t>Metric</t>
        </is>
      </c>
      <c r="B13" s="18" t="inlineStr">
        <is>
          <t>Year 1</t>
        </is>
      </c>
      <c r="C13" s="18" t="inlineStr">
        <is>
          <t>Year 2</t>
        </is>
      </c>
      <c r="D13" s="18" t="inlineStr">
        <is>
          <t>Year 3</t>
        </is>
      </c>
      <c r="E13" s="18" t="inlineStr">
        <is>
          <t>Year 4</t>
        </is>
      </c>
      <c r="F13" s="18" t="inlineStr">
        <is>
          <t>Year 5</t>
        </is>
      </c>
      <c r="G13" s="1" t="n"/>
      <c r="H13" s="18" t="inlineStr">
        <is>
          <t>Notes</t>
        </is>
      </c>
    </row>
    <row r="14">
      <c r="A14" s="19" t="inlineStr">
        <is>
          <t>Monthly subscription price</t>
        </is>
      </c>
      <c r="B14" s="25">
        <f>'Parameters'!B120</f>
        <v/>
      </c>
      <c r="C14" s="25">
        <f>'Parameters'!C120</f>
        <v/>
      </c>
      <c r="D14" s="25">
        <f>'Parameters'!D120</f>
        <v/>
      </c>
      <c r="E14" s="25">
        <f>'Parameters'!E120</f>
        <v/>
      </c>
      <c r="F14" s="25">
        <f>'Parameters'!F120</f>
        <v/>
      </c>
      <c r="H14" s="21" t="inlineStr">
        <is>
          <t>Family plan.</t>
        </is>
      </c>
    </row>
    <row r="15">
      <c r="A15" s="19" t="inlineStr">
        <is>
          <t>Annual revenue per subscriber</t>
        </is>
      </c>
      <c r="B15" s="25">
        <f>B14*12</f>
        <v/>
      </c>
      <c r="C15" s="25">
        <f>C14*12</f>
        <v/>
      </c>
      <c r="D15" s="25">
        <f>D14*12</f>
        <v/>
      </c>
      <c r="E15" s="25">
        <f>E14*12</f>
        <v/>
      </c>
      <c r="F15" s="25">
        <f>F14*12</f>
        <v/>
      </c>
    </row>
    <row r="16">
      <c r="A16" s="29" t="inlineStr">
        <is>
          <t>TOTAL B2C REVENUE</t>
        </is>
      </c>
      <c r="B16" s="30">
        <f>ROUND(B8*B15,0)</f>
        <v/>
      </c>
      <c r="C16" s="30">
        <f>ROUND(C8*C15,0)</f>
        <v/>
      </c>
      <c r="D16" s="30">
        <f>ROUND(D8*D15,0)</f>
        <v/>
      </c>
      <c r="E16" s="30">
        <f>ROUND(E8*E15,0)</f>
        <v/>
      </c>
      <c r="F16" s="30">
        <f>ROUND(F8*F15,0)</f>
        <v/>
      </c>
      <c r="H16" s="21" t="inlineStr">
        <is>
          <t>Active subscribers x annual price.</t>
        </is>
      </c>
    </row>
    <row r="17"/>
    <row r="18">
      <c r="A18" s="16" t="inlineStr">
        <is>
          <t>3 - CONSUMER COSTS</t>
        </is>
      </c>
      <c r="B18" s="17" t="n"/>
      <c r="C18" s="17" t="n"/>
      <c r="D18" s="17" t="n"/>
      <c r="E18" s="17" t="n"/>
      <c r="F18" s="17" t="n"/>
      <c r="G18" s="17" t="n"/>
      <c r="H18" s="17" t="n"/>
    </row>
    <row r="19">
      <c r="A19" s="18" t="inlineStr">
        <is>
          <t>Metric</t>
        </is>
      </c>
      <c r="B19" s="18" t="inlineStr">
        <is>
          <t>Year 1</t>
        </is>
      </c>
      <c r="C19" s="18" t="inlineStr">
        <is>
          <t>Year 2</t>
        </is>
      </c>
      <c r="D19" s="18" t="inlineStr">
        <is>
          <t>Year 3</t>
        </is>
      </c>
      <c r="E19" s="18" t="inlineStr">
        <is>
          <t>Year 4</t>
        </is>
      </c>
      <c r="F19" s="18" t="inlineStr">
        <is>
          <t>Year 5</t>
        </is>
      </c>
      <c r="G19" s="1" t="n"/>
      <c r="H19" s="18" t="inlineStr">
        <is>
          <t>Notes</t>
        </is>
      </c>
    </row>
    <row r="20">
      <c r="A20" s="19" t="inlineStr">
        <is>
          <t>Family streaming costs</t>
        </is>
      </c>
      <c r="B20" s="25">
        <f>ROUND(B8*'Parameters'!B123,0)</f>
        <v/>
      </c>
      <c r="C20" s="25">
        <f>ROUND(C8*'Parameters'!C123,0)</f>
        <v/>
      </c>
      <c r="D20" s="25">
        <f>ROUND(D8*'Parameters'!D123,0)</f>
        <v/>
      </c>
      <c r="E20" s="25">
        <f>ROUND(E8*'Parameters'!E123,0)</f>
        <v/>
      </c>
      <c r="F20" s="25">
        <f>ROUND(F8*'Parameters'!F123,0)</f>
        <v/>
      </c>
      <c r="H20" s="21" t="inlineStr">
        <is>
          <t>Active families x streaming cost.</t>
        </is>
      </c>
    </row>
    <row r="21">
      <c r="A21" s="19" t="inlineStr">
        <is>
          <t>Family engagement spend</t>
        </is>
      </c>
      <c r="B21" s="25">
        <f>'Parameters'!B124</f>
        <v/>
      </c>
      <c r="C21" s="25">
        <f>'Parameters'!C124</f>
        <v/>
      </c>
      <c r="D21" s="25">
        <f>'Parameters'!D124</f>
        <v/>
      </c>
      <c r="E21" s="25">
        <f>'Parameters'!E124</f>
        <v/>
      </c>
      <c r="F21" s="25">
        <f>'Parameters'!F124</f>
        <v/>
      </c>
      <c r="H21" s="21" t="inlineStr">
        <is>
          <t>Parent outreach, social, app-store.</t>
        </is>
      </c>
    </row>
    <row r="22">
      <c r="A22" s="29" t="inlineStr">
        <is>
          <t>TOTAL B2C COSTS</t>
        </is>
      </c>
      <c r="B22" s="30">
        <f>B20+B21</f>
        <v/>
      </c>
      <c r="C22" s="30">
        <f>C20+C21</f>
        <v/>
      </c>
      <c r="D22" s="30">
        <f>D20+D21</f>
        <v/>
      </c>
      <c r="E22" s="30">
        <f>E20+E21</f>
        <v/>
      </c>
      <c r="F22" s="30">
        <f>F20+F21</f>
        <v/>
      </c>
    </row>
    <row r="23"/>
    <row r="24">
      <c r="A24" s="16" t="inlineStr">
        <is>
          <t>4 - UNIT ECONOMICS</t>
        </is>
      </c>
      <c r="B24" s="17" t="n"/>
      <c r="C24" s="17" t="n"/>
      <c r="D24" s="17" t="n"/>
      <c r="E24" s="17" t="n"/>
      <c r="F24" s="17" t="n"/>
      <c r="G24" s="17" t="n"/>
      <c r="H24" s="17" t="n"/>
    </row>
    <row r="25">
      <c r="A25" s="18" t="inlineStr">
        <is>
          <t>Metric</t>
        </is>
      </c>
      <c r="B25" s="18" t="inlineStr">
        <is>
          <t>Year 1</t>
        </is>
      </c>
      <c r="C25" s="18" t="inlineStr">
        <is>
          <t>Year 2</t>
        </is>
      </c>
      <c r="D25" s="18" t="inlineStr">
        <is>
          <t>Year 3</t>
        </is>
      </c>
      <c r="E25" s="18" t="inlineStr">
        <is>
          <t>Year 4</t>
        </is>
      </c>
      <c r="F25" s="18" t="inlineStr">
        <is>
          <t>Year 5</t>
        </is>
      </c>
      <c r="G25" s="1" t="n"/>
      <c r="H25" s="18" t="inlineStr">
        <is>
          <t>Notes</t>
        </is>
      </c>
    </row>
    <row r="26">
      <c r="A26" s="19" t="inlineStr">
        <is>
          <t>Effective CAC per subscriber</t>
        </is>
      </c>
      <c r="B26" s="25">
        <f>IF(B8&gt;0,ROUND(B21/B8,2),0)</f>
        <v/>
      </c>
      <c r="C26" s="25">
        <f>IF(C8&gt;0,ROUND(C21/C8,2),0)</f>
        <v/>
      </c>
      <c r="D26" s="25">
        <f>IF(D8&gt;0,ROUND(D21/D8,2),0)</f>
        <v/>
      </c>
      <c r="E26" s="25">
        <f>IF(E8&gt;0,ROUND(E21/E8,2),0)</f>
        <v/>
      </c>
      <c r="F26" s="25">
        <f>IF(F8&gt;0,ROUND(F21/F8,2),0)</f>
        <v/>
      </c>
      <c r="H26" s="21" t="inlineStr">
        <is>
          <t>Marketing spend / subscribers. Low: schools are the distribution channel.</t>
        </is>
      </c>
    </row>
    <row r="27">
      <c r="A27" s="19" t="inlineStr">
        <is>
          <t>LTV per subscriber</t>
        </is>
      </c>
      <c r="B27" s="25">
        <f>IF(B9&gt;0,B15/B9,0)</f>
        <v/>
      </c>
      <c r="C27" s="25">
        <f>IF(C9&gt;0,C15/C9,0)</f>
        <v/>
      </c>
      <c r="D27" s="25">
        <f>IF(D9&gt;0,D15/D9,0)</f>
        <v/>
      </c>
      <c r="E27" s="25">
        <f>IF(E9&gt;0,E15/E9,0)</f>
        <v/>
      </c>
      <c r="F27" s="25">
        <f>IF(F9&gt;0,F15/F9,0)</f>
        <v/>
      </c>
      <c r="H27" s="21" t="inlineStr">
        <is>
          <t>Annual revenue / churn rate.</t>
        </is>
      </c>
    </row>
    <row r="28">
      <c r="A28" s="19" t="inlineStr">
        <is>
          <t>B2C gross margin</t>
        </is>
      </c>
      <c r="B28" s="24">
        <f>IF(B16&gt;0,(B16-B20)/B16,0)</f>
        <v/>
      </c>
      <c r="C28" s="24">
        <f>IF(C16&gt;0,(C16-C20)/C16,0)</f>
        <v/>
      </c>
      <c r="D28" s="24">
        <f>IF(D16&gt;0,(D16-D20)/D16,0)</f>
        <v/>
      </c>
      <c r="E28" s="24">
        <f>IF(E16&gt;0,(E16-E20)/E16,0)</f>
        <v/>
      </c>
      <c r="F28" s="24">
        <f>IF(F16&gt;0,(F16-F20)/F16,0)</f>
        <v/>
      </c>
      <c r="H28" s="21" t="inlineStr">
        <is>
          <t>Revenue minus hosting only.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C8872A"/>
    <outlinePr summaryBelow="1" summaryRight="1"/>
    <pageSetUpPr/>
  </sheetPr>
  <dimension ref="A1:H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PD &amp; LICENSING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Professional development workshops and filmmaker co-promotion.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PROFESSIONAL DEVELOPMENT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Metric</t>
        </is>
      </c>
      <c r="B5" s="18" t="inlineStr">
        <is>
          <t>Year 1</t>
        </is>
      </c>
      <c r="C5" s="18" t="inlineStr">
        <is>
          <t>Year 2</t>
        </is>
      </c>
      <c r="D5" s="18" t="inlineStr">
        <is>
          <t>Year 3</t>
        </is>
      </c>
      <c r="E5" s="18" t="inlineStr">
        <is>
          <t>Year 4</t>
        </is>
      </c>
      <c r="F5" s="18" t="inlineStr">
        <is>
          <t>Year 5</t>
        </is>
      </c>
      <c r="G5" s="1" t="n"/>
      <c r="H5" s="18" t="inlineStr">
        <is>
          <t>Notes</t>
        </is>
      </c>
    </row>
    <row r="6">
      <c r="A6" s="19" t="inlineStr">
        <is>
          <t>PD workshops per year</t>
        </is>
      </c>
      <c r="B6" s="27">
        <f>'Parameters'!B81</f>
        <v/>
      </c>
      <c r="C6" s="27">
        <f>'Parameters'!C81</f>
        <v/>
      </c>
      <c r="D6" s="27">
        <f>'Parameters'!D81</f>
        <v/>
      </c>
      <c r="E6" s="27">
        <f>'Parameters'!E81</f>
        <v/>
      </c>
      <c r="F6" s="27">
        <f>'Parameters'!F81</f>
        <v/>
      </c>
      <c r="H6" s="21" t="inlineStr">
        <is>
          <t>From Platform Config.</t>
        </is>
      </c>
    </row>
    <row r="7">
      <c r="A7" s="19" t="inlineStr">
        <is>
          <t>Price per workshop</t>
        </is>
      </c>
      <c r="B7" s="25">
        <f>'Parameters'!B82</f>
        <v/>
      </c>
      <c r="C7" s="25">
        <f>'Parameters'!C82</f>
        <v/>
      </c>
      <c r="D7" s="25">
        <f>'Parameters'!D82</f>
        <v/>
      </c>
      <c r="E7" s="25">
        <f>'Parameters'!E82</f>
        <v/>
      </c>
      <c r="F7" s="25">
        <f>'Parameters'!F82</f>
        <v/>
      </c>
      <c r="H7" s="21" t="inlineStr">
        <is>
          <t>From Platform Config.</t>
        </is>
      </c>
    </row>
    <row r="8">
      <c r="A8" s="19" t="inlineStr">
        <is>
          <t>PD revenue</t>
        </is>
      </c>
      <c r="B8" s="25">
        <f>ROUND(B6*B7,0)</f>
        <v/>
      </c>
      <c r="C8" s="25">
        <f>ROUND(C6*C7,0)</f>
        <v/>
      </c>
      <c r="D8" s="25">
        <f>ROUND(D6*D7,0)</f>
        <v/>
      </c>
      <c r="E8" s="25">
        <f>ROUND(E6*E7,0)</f>
        <v/>
      </c>
      <c r="F8" s="25">
        <f>ROUND(F6*F7,0)</f>
        <v/>
      </c>
      <c r="H8" s="21" t="inlineStr">
        <is>
          <t>Workshops x price.</t>
        </is>
      </c>
    </row>
    <row r="9">
      <c r="A9" s="19" t="inlineStr">
        <is>
          <t>Delivery cost per workshop</t>
        </is>
      </c>
      <c r="B9" s="25">
        <f>'Parameters'!B83</f>
        <v/>
      </c>
      <c r="C9" s="25">
        <f>'Parameters'!C83</f>
        <v/>
      </c>
      <c r="D9" s="25">
        <f>'Parameters'!D83</f>
        <v/>
      </c>
      <c r="E9" s="25">
        <f>'Parameters'!E83</f>
        <v/>
      </c>
      <c r="F9" s="25">
        <f>'Parameters'!F83</f>
        <v/>
      </c>
      <c r="H9" s="21" t="inlineStr">
        <is>
          <t>From Platform Config.</t>
        </is>
      </c>
    </row>
    <row r="10">
      <c r="A10" s="19" t="inlineStr">
        <is>
          <t>PD delivery costs</t>
        </is>
      </c>
      <c r="B10" s="25">
        <f>ROUND(B6*B9,0)</f>
        <v/>
      </c>
      <c r="C10" s="25">
        <f>ROUND(C6*C9,0)</f>
        <v/>
      </c>
      <c r="D10" s="25">
        <f>ROUND(D6*D9,0)</f>
        <v/>
      </c>
      <c r="E10" s="25">
        <f>ROUND(E6*E9,0)</f>
        <v/>
      </c>
      <c r="F10" s="25">
        <f>ROUND(F6*F9,0)</f>
        <v/>
      </c>
      <c r="H10" s="21" t="inlineStr">
        <is>
          <t>Total workshop delivery cost.</t>
        </is>
      </c>
    </row>
    <row r="11"/>
    <row r="12">
      <c r="A12" s="16" t="inlineStr">
        <is>
          <t>2 - FILMMAKER CO-PROMOTION</t>
        </is>
      </c>
      <c r="B12" s="17" t="n"/>
      <c r="C12" s="17" t="n"/>
      <c r="D12" s="17" t="n"/>
      <c r="E12" s="17" t="n"/>
      <c r="F12" s="17" t="n"/>
      <c r="G12" s="17" t="n"/>
      <c r="H12" s="17" t="n"/>
    </row>
    <row r="13">
      <c r="A13" s="18" t="inlineStr">
        <is>
          <t>Metric</t>
        </is>
      </c>
      <c r="B13" s="18" t="inlineStr">
        <is>
          <t>Year 1</t>
        </is>
      </c>
      <c r="C13" s="18" t="inlineStr">
        <is>
          <t>Year 2</t>
        </is>
      </c>
      <c r="D13" s="18" t="inlineStr">
        <is>
          <t>Year 3</t>
        </is>
      </c>
      <c r="E13" s="18" t="inlineStr">
        <is>
          <t>Year 4</t>
        </is>
      </c>
      <c r="F13" s="18" t="inlineStr">
        <is>
          <t>Year 5</t>
        </is>
      </c>
      <c r="G13" s="1" t="n"/>
      <c r="H13" s="18" t="inlineStr">
        <is>
          <t>Collaborative promotion (no placement fees)</t>
        </is>
      </c>
    </row>
    <row r="14">
      <c r="A14" s="19" t="inlineStr">
        <is>
          <t>Co-promoted films per year</t>
        </is>
      </c>
      <c r="B14" s="27">
        <f>'Parameters'!B89</f>
        <v/>
      </c>
      <c r="C14" s="27">
        <f>'Parameters'!C89</f>
        <v/>
      </c>
      <c r="D14" s="27">
        <f>'Parameters'!D89</f>
        <v/>
      </c>
      <c r="E14" s="27">
        <f>'Parameters'!E89</f>
        <v/>
      </c>
      <c r="F14" s="27">
        <f>'Parameters'!F89</f>
        <v/>
      </c>
      <c r="H14" s="21" t="inlineStr">
        <is>
          <t>From Parameters (currently zero).</t>
        </is>
      </c>
    </row>
    <row r="15">
      <c r="A15" s="19" t="inlineStr">
        <is>
          <t>Fee per film (eliminated)</t>
        </is>
      </c>
      <c r="B15" s="25">
        <f>'Parameters'!B88</f>
        <v/>
      </c>
      <c r="C15" s="25">
        <f>'Parameters'!C88</f>
        <v/>
      </c>
      <c r="D15" s="25">
        <f>'Parameters'!D88</f>
        <v/>
      </c>
      <c r="E15" s="25">
        <f>'Parameters'!E88</f>
        <v/>
      </c>
      <c r="F15" s="25">
        <f>'Parameters'!F88</f>
        <v/>
      </c>
      <c r="H15" s="21" t="inlineStr">
        <is>
          <t>Set to $0: co-promotion, not licensing.</t>
        </is>
      </c>
    </row>
    <row r="16">
      <c r="A16" s="19" t="inlineStr">
        <is>
          <t>Co-promotion revenue</t>
        </is>
      </c>
      <c r="B16" s="25">
        <f>ROUND(B14*B15,0)</f>
        <v/>
      </c>
      <c r="C16" s="25">
        <f>ROUND(C14*C15,0)</f>
        <v/>
      </c>
      <c r="D16" s="25">
        <f>ROUND(D14*D15,0)</f>
        <v/>
      </c>
      <c r="E16" s="25">
        <f>ROUND(E14*E15,0)</f>
        <v/>
      </c>
      <c r="F16" s="25">
        <f>ROUND(F14*F15,0)</f>
        <v/>
      </c>
      <c r="H16" s="21" t="inlineStr">
        <is>
          <t>Zero by design. Films x fee.</t>
        </is>
      </c>
    </row>
    <row r="17"/>
    <row r="18">
      <c r="A18" s="16" t="inlineStr">
        <is>
          <t>3 - SUMMARY</t>
        </is>
      </c>
      <c r="B18" s="17" t="n"/>
      <c r="C18" s="17" t="n"/>
      <c r="D18" s="17" t="n"/>
      <c r="E18" s="17" t="n"/>
      <c r="F18" s="17" t="n"/>
      <c r="G18" s="17" t="n"/>
      <c r="H18" s="17" t="n"/>
    </row>
    <row r="19">
      <c r="A19" s="18" t="inlineStr">
        <is>
          <t>Metric</t>
        </is>
      </c>
      <c r="B19" s="18" t="inlineStr">
        <is>
          <t>Year 1</t>
        </is>
      </c>
      <c r="C19" s="18" t="inlineStr">
        <is>
          <t>Year 2</t>
        </is>
      </c>
      <c r="D19" s="18" t="inlineStr">
        <is>
          <t>Year 3</t>
        </is>
      </c>
      <c r="E19" s="18" t="inlineStr">
        <is>
          <t>Year 4</t>
        </is>
      </c>
      <c r="F19" s="18" t="inlineStr">
        <is>
          <t>Year 5</t>
        </is>
      </c>
      <c r="G19" s="1" t="n"/>
      <c r="H19" s="18" t="inlineStr">
        <is>
          <t>Notes</t>
        </is>
      </c>
    </row>
    <row r="20">
      <c r="A20" s="19" t="inlineStr">
        <is>
          <t>Total PD &amp; co-promotion revenue</t>
        </is>
      </c>
      <c r="B20" s="25">
        <f>B8+B16</f>
        <v/>
      </c>
      <c r="C20" s="25">
        <f>C8+C16</f>
        <v/>
      </c>
      <c r="D20" s="25">
        <f>D8+D16</f>
        <v/>
      </c>
      <c r="E20" s="25">
        <f>E8+E16</f>
        <v/>
      </c>
      <c r="F20" s="25">
        <f>F8+F16</f>
        <v/>
      </c>
      <c r="H20" s="21" t="inlineStr">
        <is>
          <t>PD workshops only (co-promotion = $0).</t>
        </is>
      </c>
    </row>
    <row r="21">
      <c r="A21" s="19" t="inlineStr">
        <is>
          <t>Total PD delivery costs</t>
        </is>
      </c>
      <c r="B21" s="25">
        <f>B10</f>
        <v/>
      </c>
      <c r="C21" s="25">
        <f>C10</f>
        <v/>
      </c>
      <c r="D21" s="25">
        <f>D10</f>
        <v/>
      </c>
      <c r="E21" s="25">
        <f>E10</f>
        <v/>
      </c>
      <c r="F21" s="25">
        <f>F10</f>
        <v/>
      </c>
    </row>
    <row r="22">
      <c r="A22" s="29" t="inlineStr">
        <is>
          <t>NET PD CONTRIBUTION</t>
        </is>
      </c>
      <c r="B22" s="30">
        <f>B20-B21</f>
        <v/>
      </c>
      <c r="C22" s="30">
        <f>C20-C21</f>
        <v/>
      </c>
      <c r="D22" s="30">
        <f>D20-D21</f>
        <v/>
      </c>
      <c r="E22" s="30">
        <f>E20-E21</f>
        <v/>
      </c>
      <c r="F22" s="30">
        <f>F20-F21</f>
        <v/>
      </c>
      <c r="H22" s="21" t="inlineStr">
        <is>
          <t>Revenue minus delivery costs.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C8872A"/>
    <outlinePr summaryBelow="1" summaryRight="1"/>
    <pageSetUpPr/>
  </sheetPr>
  <dimension ref="A1:H17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CASH FLOW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8" t="inlineStr">
        <is>
          <t>Annual cash position, working capital, and injection requirements.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6" t="inlineStr">
        <is>
          <t>1 - ANNUAL CASH FLOW</t>
        </is>
      </c>
      <c r="B4" s="17" t="n"/>
      <c r="C4" s="17" t="n"/>
      <c r="D4" s="17" t="n"/>
      <c r="E4" s="17" t="n"/>
      <c r="F4" s="17" t="n"/>
      <c r="G4" s="17" t="n"/>
      <c r="H4" s="17" t="n"/>
    </row>
    <row r="5">
      <c r="A5" s="18" t="inlineStr">
        <is>
          <t>Metric</t>
        </is>
      </c>
      <c r="B5" s="18" t="inlineStr">
        <is>
          <t>Year 1</t>
        </is>
      </c>
      <c r="C5" s="18" t="inlineStr">
        <is>
          <t>Year 2</t>
        </is>
      </c>
      <c r="D5" s="18" t="inlineStr">
        <is>
          <t>Year 3</t>
        </is>
      </c>
      <c r="E5" s="18" t="inlineStr">
        <is>
          <t>Year 4</t>
        </is>
      </c>
      <c r="F5" s="18" t="inlineStr">
        <is>
          <t>Year 5</t>
        </is>
      </c>
      <c r="G5" s="1" t="n"/>
      <c r="H5" s="18" t="inlineStr">
        <is>
          <t>Notes</t>
        </is>
      </c>
    </row>
    <row r="6">
      <c r="A6" s="19" t="inlineStr">
        <is>
          <t>Net P&amp;L after fees</t>
        </is>
      </c>
      <c r="B6" s="25">
        <f>'Consolidated'!B67</f>
        <v/>
      </c>
      <c r="C6" s="25">
        <f>'Consolidated'!C67</f>
        <v/>
      </c>
      <c r="D6" s="25">
        <f>'Consolidated'!D67</f>
        <v/>
      </c>
      <c r="E6" s="25">
        <f>'Consolidated'!E67</f>
        <v/>
      </c>
      <c r="F6" s="25">
        <f>'Consolidated'!F67</f>
        <v/>
      </c>
    </row>
    <row r="7">
      <c r="A7" s="19" t="inlineStr">
        <is>
          <t>Working capital adjustment</t>
        </is>
      </c>
      <c r="B7" s="25">
        <f>-ROUND('Consolidated'!B12*'Parameters'!B98/365,0)</f>
        <v/>
      </c>
      <c r="C7" s="25">
        <f>-ROUND(('Consolidated'!C12-'Consolidated'!B12)*'Parameters'!C98/365,0)</f>
        <v/>
      </c>
      <c r="D7" s="25">
        <f>-ROUND(('Consolidated'!D12-'Consolidated'!C12)*'Parameters'!D98/365,0)</f>
        <v/>
      </c>
      <c r="E7" s="25">
        <f>-ROUND(('Consolidated'!E12-'Consolidated'!D12)*'Parameters'!E98/365,0)</f>
        <v/>
      </c>
      <c r="F7" s="25">
        <f>-ROUND(('Consolidated'!F12-'Consolidated'!E12)*'Parameters'!F98/365,0)</f>
        <v/>
      </c>
      <c r="H7" s="21" t="inlineStr">
        <is>
          <t>Change in receivables (revenue growth x collection lag).</t>
        </is>
      </c>
    </row>
    <row r="8">
      <c r="A8" s="29" t="inlineStr">
        <is>
          <t>NET CASH FLOW</t>
        </is>
      </c>
      <c r="B8" s="30">
        <f>B6+B7</f>
        <v/>
      </c>
      <c r="C8" s="30">
        <f>C6+C7</f>
        <v/>
      </c>
      <c r="D8" s="30">
        <f>D6+D7</f>
        <v/>
      </c>
      <c r="E8" s="30">
        <f>E6+E7</f>
        <v/>
      </c>
      <c r="F8" s="30">
        <f>F6+F7</f>
        <v/>
      </c>
    </row>
    <row r="9"/>
    <row r="10">
      <c r="A10" s="19" t="inlineStr">
        <is>
          <t>Cumulative cash position</t>
        </is>
      </c>
      <c r="B10" s="25">
        <f>B8</f>
        <v/>
      </c>
      <c r="C10" s="25">
        <f>B10+C8</f>
        <v/>
      </c>
      <c r="D10" s="25">
        <f>C10+D8</f>
        <v/>
      </c>
      <c r="E10" s="25">
        <f>D10+E8</f>
        <v/>
      </c>
      <c r="F10" s="25">
        <f>E10+F8</f>
        <v/>
      </c>
    </row>
    <row r="11"/>
    <row r="12">
      <c r="A12" s="16" t="inlineStr">
        <is>
          <t>2 - INJECTION REQUIREMENT</t>
        </is>
      </c>
      <c r="B12" s="17" t="n"/>
      <c r="C12" s="17" t="n"/>
      <c r="D12" s="17" t="n"/>
      <c r="E12" s="17" t="n"/>
      <c r="F12" s="17" t="n"/>
      <c r="G12" s="17" t="n"/>
      <c r="H12" s="17" t="n"/>
    </row>
    <row r="13">
      <c r="A13" s="18" t="inlineStr">
        <is>
          <t>Metric</t>
        </is>
      </c>
      <c r="B13" s="18" t="inlineStr">
        <is>
          <t>Year 1</t>
        </is>
      </c>
      <c r="C13" s="18" t="inlineStr">
        <is>
          <t>Year 2</t>
        </is>
      </c>
      <c r="D13" s="18" t="inlineStr">
        <is>
          <t>Year 3</t>
        </is>
      </c>
      <c r="E13" s="18" t="inlineStr">
        <is>
          <t>Year 4</t>
        </is>
      </c>
      <c r="F13" s="18" t="inlineStr">
        <is>
          <t>Year 5</t>
        </is>
      </c>
      <c r="G13" s="1" t="n"/>
      <c r="H13" s="18" t="inlineStr">
        <is>
          <t>Notes</t>
        </is>
      </c>
    </row>
    <row r="14">
      <c r="A14" s="19" t="inlineStr">
        <is>
          <t>Cash injection needed</t>
        </is>
      </c>
      <c r="B14" s="25">
        <f>MAX(0,-B8)</f>
        <v/>
      </c>
      <c r="C14" s="25">
        <f>MAX(0,-C8)</f>
        <v/>
      </c>
      <c r="D14" s="25">
        <f>MAX(0,-D8)</f>
        <v/>
      </c>
      <c r="E14" s="25">
        <f>MAX(0,-E8)</f>
        <v/>
      </c>
      <c r="F14" s="25">
        <f>MAX(0,-F8)</f>
        <v/>
      </c>
    </row>
    <row r="15">
      <c r="A15" s="19" t="inlineStr">
        <is>
          <t>Cash surplus generated</t>
        </is>
      </c>
      <c r="B15" s="25">
        <f>MAX(0,B8)</f>
        <v/>
      </c>
      <c r="C15" s="25">
        <f>MAX(0,C8)</f>
        <v/>
      </c>
      <c r="D15" s="25">
        <f>MAX(0,D8)</f>
        <v/>
      </c>
      <c r="E15" s="25">
        <f>MAX(0,E8)</f>
        <v/>
      </c>
      <c r="F15" s="25">
        <f>MAX(0,F8)</f>
        <v/>
      </c>
    </row>
    <row r="16">
      <c r="A16" s="19" t="inlineStr">
        <is>
          <t>Cumulative injections</t>
        </is>
      </c>
      <c r="B16" s="25">
        <f>B14</f>
        <v/>
      </c>
      <c r="C16" s="25">
        <f>B16+C14</f>
        <v/>
      </c>
      <c r="D16" s="25">
        <f>C16+D14</f>
        <v/>
      </c>
      <c r="E16" s="25">
        <f>D16+E14</f>
        <v/>
      </c>
      <c r="F16" s="25">
        <f>E16+F14</f>
        <v/>
      </c>
    </row>
    <row r="17">
      <c r="A17" s="19" t="inlineStr">
        <is>
          <t>Cash-positive in year?</t>
        </is>
      </c>
      <c r="B17" s="27">
        <f>IF(B8&gt;0,"YES","NO")</f>
        <v/>
      </c>
      <c r="C17" s="27">
        <f>IF(C8&gt;0,"YES","NO")</f>
        <v/>
      </c>
      <c r="D17" s="27">
        <f>IF(D8&gt;0,"YES","NO")</f>
        <v/>
      </c>
      <c r="E17" s="27">
        <f>IF(E8&gt;0,"YES","NO")</f>
        <v/>
      </c>
      <c r="F17" s="27">
        <f>IF(F8&gt;0,"YES","NO")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2026-03-01T23:20:32Z</dcterms:created>
  <dcterms:modified xmlns:dcterms="http://purl.org/dc/terms/" xmlns:xsi="http://www.w3.org/2001/XMLSchema-instance" xsi:type="dcterms:W3CDTF">2026-03-01T23:20:32Z</dcterms:modified>
</cp:coreProperties>
</file>