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tform Config" sheetId="1" state="visible" r:id="rId1"/>
    <sheet xmlns:r="http://schemas.openxmlformats.org/officeDocument/2006/relationships" name="SVOD Model" sheetId="2" state="visible" r:id="rId2"/>
    <sheet xmlns:r="http://schemas.openxmlformats.org/officeDocument/2006/relationships" name="AVOD Model" sheetId="3" state="visible" r:id="rId3"/>
    <sheet xmlns:r="http://schemas.openxmlformats.org/officeDocument/2006/relationships" name="TVOD Model" sheetId="4" state="visible" r:id="rId4"/>
    <sheet xmlns:r="http://schemas.openxmlformats.org/officeDocument/2006/relationships" name="Consolidated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$#,##0.00"/>
    <numFmt numFmtId="166" formatCode="$#,##0"/>
    <numFmt numFmtId="167" formatCode="#,##0.0x"/>
    <numFmt numFmtId="168" formatCode="0.0"/>
    <numFmt numFmtId="169" formatCode="0.0x"/>
  </numFmts>
  <fonts count="7">
    <font>
      <name val="Calibri"/>
      <family val="2"/>
      <color theme="1"/>
      <sz val="11"/>
      <scheme val="minor"/>
    </font>
    <font>
      <b val="1"/>
      <sz val="14"/>
    </font>
    <font>
      <i val="1"/>
      <color rgb="00666666"/>
      <sz val="9"/>
    </font>
    <font>
      <b val="1"/>
      <color rgb="00E6E6E6"/>
      <sz val="10"/>
    </font>
    <font>
      <b val="1"/>
      <color rgb="00FFFFFF"/>
      <sz val="11"/>
    </font>
    <font>
      <sz val="10"/>
    </font>
    <font>
      <b val="1"/>
      <sz val="10"/>
    </font>
  </fonts>
  <fills count="6">
    <fill>
      <patternFill/>
    </fill>
    <fill>
      <patternFill patternType="gray125"/>
    </fill>
    <fill>
      <patternFill patternType="solid">
        <fgColor rgb="002D2D2D"/>
        <bgColor rgb="002D2D2D"/>
      </patternFill>
    </fill>
    <fill>
      <patternFill patternType="solid">
        <fgColor rgb="001F1F1F"/>
        <bgColor rgb="001F1F1F"/>
      </patternFill>
    </fill>
    <fill>
      <patternFill patternType="solid">
        <fgColor rgb="00FFF9E1"/>
        <bgColor rgb="00FFF9E1"/>
      </patternFill>
    </fill>
    <fill>
      <patternFill patternType="solid">
        <fgColor rgb="00E8F0FE"/>
        <bgColor rgb="00E8F0FE"/>
      </patternFill>
    </fill>
  </fills>
  <borders count="2">
    <border>
      <left/>
      <right/>
      <top/>
      <bottom/>
      <diagonal/>
    </border>
    <border>
      <top style="thin"/>
      <bottom style="double"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3" borderId="0" applyAlignment="1" pivotButton="0" quotePrefix="0" xfId="0">
      <alignment horizontal="center"/>
    </xf>
    <xf numFmtId="0" fontId="4" fillId="3" borderId="0" pivotButton="0" quotePrefix="0" xfId="0"/>
    <xf numFmtId="0" fontId="5" fillId="0" borderId="0" pivotButton="0" quotePrefix="0" xfId="0"/>
    <xf numFmtId="0" fontId="0" fillId="4" borderId="0" pivotButton="0" quotePrefix="0" xfId="0"/>
    <xf numFmtId="3" fontId="0" fillId="4" borderId="0" applyAlignment="1" pivotButton="0" quotePrefix="0" xfId="0">
      <alignment horizontal="right"/>
    </xf>
    <xf numFmtId="3" fontId="0" fillId="5" borderId="0" applyAlignment="1" pivotButton="0" quotePrefix="0" xfId="0">
      <alignment horizontal="right"/>
    </xf>
    <xf numFmtId="164" fontId="0" fillId="4" borderId="0" applyAlignment="1" pivotButton="0" quotePrefix="0" xfId="0">
      <alignment horizontal="right"/>
    </xf>
    <xf numFmtId="164" fontId="0" fillId="5" borderId="0" applyAlignment="1" pivotButton="0" quotePrefix="0" xfId="0">
      <alignment horizontal="right"/>
    </xf>
    <xf numFmtId="165" fontId="0" fillId="4" borderId="0" pivotButton="0" quotePrefix="0" xfId="0"/>
    <xf numFmtId="164" fontId="0" fillId="4" borderId="0" pivotButton="0" quotePrefix="0" xfId="0"/>
    <xf numFmtId="166" fontId="0" fillId="4" borderId="0" applyAlignment="1" pivotButton="0" quotePrefix="0" xfId="0">
      <alignment horizontal="right"/>
    </xf>
    <xf numFmtId="0" fontId="6" fillId="0" borderId="0" pivotButton="0" quotePrefix="0" xfId="0"/>
    <xf numFmtId="166" fontId="6" fillId="0" borderId="1" applyAlignment="1" pivotButton="0" quotePrefix="0" xfId="0">
      <alignment horizontal="right"/>
    </xf>
    <xf numFmtId="165" fontId="0" fillId="5" borderId="0" applyAlignment="1" pivotButton="0" quotePrefix="0" xfId="0">
      <alignment horizontal="right"/>
    </xf>
    <xf numFmtId="165" fontId="0" fillId="4" borderId="0" applyAlignment="1" pivotButton="0" quotePrefix="0" xfId="0">
      <alignment horizontal="right"/>
    </xf>
    <xf numFmtId="166" fontId="0" fillId="5" borderId="0" applyAlignment="1" pivotButton="0" quotePrefix="0" xfId="0">
      <alignment horizontal="right"/>
    </xf>
    <xf numFmtId="167" fontId="0" fillId="5" borderId="0" applyAlignment="1" pivotButton="0" quotePrefix="0" xfId="0">
      <alignment horizontal="right"/>
    </xf>
    <xf numFmtId="168" fontId="0" fillId="5" borderId="0" applyAlignment="1" pivotButton="0" quotePrefix="0" xfId="0">
      <alignment horizontal="right"/>
    </xf>
    <xf numFmtId="168" fontId="0" fillId="4" borderId="0" applyAlignment="1" pivotButton="0" quotePrefix="0" xfId="0">
      <alignment horizontal="right"/>
    </xf>
    <xf numFmtId="1" fontId="0" fillId="4" borderId="0" applyAlignment="1" pivotButton="0" quotePrefix="0" xfId="0">
      <alignment horizontal="right"/>
    </xf>
    <xf numFmtId="169" fontId="0" fillId="4" borderId="0" applyAlignment="1" pivotButton="0" quotePrefix="0" xfId="0">
      <alignment horizontal="right"/>
    </xf>
    <xf numFmtId="166" fontId="0" fillId="0" borderId="0" pivotButton="0" quotePrefix="0" xfId="0"/>
    <xf numFmtId="164" fontId="0" fillId="0" borderId="0" pivotButton="0" quotePrefix="0" xfId="0"/>
    <xf numFmtId="3" fontId="0" fillId="0" borderId="0" pivotButton="0" quotePrefix="0" xfId="0"/>
    <xf numFmtId="165" fontId="0" fillId="0" borderId="0" pivotButton="0" quotePrefix="0" xfId="0"/>
    <xf numFmtId="0" fontId="5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78A3C"/>
    <outlinePr summaryBelow="1" summaryRight="1"/>
    <pageSetUpPr/>
  </sheetPr>
  <dimension ref="A1:H46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55" customWidth="1" min="8" max="8"/>
  </cols>
  <sheetData>
    <row r="1">
      <c r="A1" s="1" t="inlineStr">
        <is>
          <t>CULTSCALE FINANCIAL MODEL — PLATFORM CONFIGURATION</t>
        </is>
      </c>
    </row>
    <row r="2">
      <c r="A2" s="2" t="inlineStr">
        <is>
          <t>Yellow cells are configurable inputs. This sheet defines the platform identity, territory mix, and shared cost base.</t>
        </is>
      </c>
    </row>
    <row r="4">
      <c r="A4" s="3" t="inlineStr">
        <is>
          <t>1 — PLATFORM IDENTITY</t>
        </is>
      </c>
      <c r="B4" s="4" t="n"/>
      <c r="C4" s="4" t="n"/>
      <c r="D4" s="4" t="n"/>
      <c r="E4" s="4" t="n"/>
      <c r="F4" s="4" t="n"/>
      <c r="H4" s="4" t="n"/>
    </row>
    <row r="5">
      <c r="A5" s="5" t="inlineStr">
        <is>
          <t>Parameter</t>
        </is>
      </c>
      <c r="B5" s="5" t="inlineStr"/>
      <c r="C5" s="5" t="inlineStr"/>
      <c r="D5" s="5" t="inlineStr"/>
      <c r="E5" s="5" t="inlineStr"/>
      <c r="F5" s="5" t="inlineStr"/>
      <c r="H5" s="6" t="inlineStr">
        <is>
          <t>Description</t>
        </is>
      </c>
    </row>
    <row r="6">
      <c r="A6" s="7" t="inlineStr">
        <is>
          <t>Platform name</t>
        </is>
      </c>
      <c r="B6" s="8" t="inlineStr">
        <is>
          <t>SlasherPlay</t>
        </is>
      </c>
      <c r="H6" s="2" t="inlineStr">
        <is>
          <t>Brand name. Used for labelling throughout.</t>
        </is>
      </c>
    </row>
    <row r="7">
      <c r="A7" s="7" t="inlineStr">
        <is>
          <t>Content vertical / niche</t>
        </is>
      </c>
      <c r="B7" s="8" t="inlineStr">
        <is>
          <t>Horror &amp; thriller (MENA)</t>
        </is>
      </c>
      <c r="H7" s="2" t="inlineStr">
        <is>
          <t>Genre/niche focus. Drives CPM premiums &amp; audience behaviour.</t>
        </is>
      </c>
    </row>
    <row r="8">
      <c r="A8" s="7" t="inlineStr">
        <is>
          <t>Primary currency</t>
        </is>
      </c>
      <c r="B8" s="8" t="inlineStr">
        <is>
          <t>USD</t>
        </is>
      </c>
      <c r="H8" s="2" t="inlineStr">
        <is>
          <t>All figures in this currency.</t>
        </is>
      </c>
    </row>
    <row r="9">
      <c r="A9" s="7" t="inlineStr">
        <is>
          <t>Model horizon (years)</t>
        </is>
      </c>
      <c r="B9" s="8" t="n">
        <v>5</v>
      </c>
      <c r="H9" s="2" t="inlineStr">
        <is>
          <t>Fixed at 5 for this version.</t>
        </is>
      </c>
    </row>
    <row r="11">
      <c r="A11" s="3" t="inlineStr">
        <is>
          <t>2 — CONTENT LIBRARY</t>
        </is>
      </c>
      <c r="B11" s="4" t="n"/>
      <c r="C11" s="4" t="n"/>
      <c r="D11" s="4" t="n"/>
      <c r="E11" s="4" t="n"/>
      <c r="F11" s="4" t="n"/>
      <c r="H11" s="4" t="n"/>
    </row>
    <row r="12">
      <c r="A12" s="5" t="inlineStr">
        <is>
          <t>Metric</t>
        </is>
      </c>
      <c r="B12" s="5" t="inlineStr">
        <is>
          <t>Year 1</t>
        </is>
      </c>
      <c r="C12" s="5" t="inlineStr">
        <is>
          <t>Year 2</t>
        </is>
      </c>
      <c r="D12" s="5" t="inlineStr">
        <is>
          <t>Year 3</t>
        </is>
      </c>
      <c r="E12" s="5" t="inlineStr">
        <is>
          <t>Year 4</t>
        </is>
      </c>
      <c r="F12" s="5" t="inlineStr">
        <is>
          <t>Year 5</t>
        </is>
      </c>
      <c r="H12" s="6" t="inlineStr">
        <is>
          <t>Notes</t>
        </is>
      </c>
    </row>
    <row r="13">
      <c r="A13" s="7" t="inlineStr">
        <is>
          <t>Initial library (titles at launch)</t>
        </is>
      </c>
      <c r="B13" s="9" t="n">
        <v>252</v>
      </c>
      <c r="C13" s="9" t="inlineStr"/>
      <c r="D13" s="9" t="inlineStr"/>
      <c r="E13" s="9" t="inlineStr"/>
      <c r="F13" s="9" t="inlineStr"/>
      <c r="H13" s="2" t="inlineStr">
        <is>
          <t>Titles available at Day 1. Drives initial encode, QC, subs costs.</t>
        </is>
      </c>
    </row>
    <row r="14">
      <c r="A14" s="7" t="inlineStr">
        <is>
          <t>New titles added per year</t>
        </is>
      </c>
      <c r="B14" s="9" t="n">
        <v>20</v>
      </c>
      <c r="C14" s="9" t="n">
        <v>30</v>
      </c>
      <c r="D14" s="9" t="n">
        <v>40</v>
      </c>
      <c r="E14" s="9" t="n">
        <v>50</v>
      </c>
      <c r="F14" s="9" t="n">
        <v>60</v>
      </c>
      <c r="H14" s="2" t="inlineStr">
        <is>
          <t>Annual refresh. Drives incremental content costs across all models.</t>
        </is>
      </c>
    </row>
    <row r="15">
      <c r="A15" s="7" t="inlineStr">
        <is>
          <t>Total library size (cumulative)</t>
        </is>
      </c>
      <c r="B15" s="10">
        <f>B13+B14</f>
        <v/>
      </c>
      <c r="C15" s="10">
        <f>B15+C14</f>
        <v/>
      </c>
      <c r="D15" s="10">
        <f>C15+D14</f>
        <v/>
      </c>
      <c r="E15" s="10">
        <f>D15+E14</f>
        <v/>
      </c>
      <c r="F15" s="10">
        <f>E15+F14</f>
        <v/>
      </c>
      <c r="H15" s="2" t="inlineStr">
        <is>
          <t>Running total. Affects TVOD catalogue depth &amp; AVOD content hours.</t>
        </is>
      </c>
    </row>
    <row r="17">
      <c r="A17" s="3" t="inlineStr">
        <is>
          <t>3 — TERRITORY MIX &amp; REGIONAL WEIGHTING</t>
        </is>
      </c>
      <c r="B17" s="4" t="n"/>
      <c r="C17" s="4" t="n"/>
      <c r="D17" s="4" t="n"/>
      <c r="E17" s="4" t="n"/>
      <c r="F17" s="4" t="n"/>
      <c r="H17" s="4" t="n"/>
    </row>
    <row r="18">
      <c r="A18" s="5" t="inlineStr">
        <is>
          <t>Region</t>
        </is>
      </c>
      <c r="B18" s="5" t="inlineStr">
        <is>
          <t>Y1 weight</t>
        </is>
      </c>
      <c r="C18" s="5" t="inlineStr">
        <is>
          <t>Y2 weight</t>
        </is>
      </c>
      <c r="D18" s="5" t="inlineStr">
        <is>
          <t>Y3 weight</t>
        </is>
      </c>
      <c r="E18" s="5" t="inlineStr">
        <is>
          <t>Y4 weight</t>
        </is>
      </c>
      <c r="F18" s="5" t="inlineStr">
        <is>
          <t>Y5 weight</t>
        </is>
      </c>
      <c r="H18" s="6" t="inlineStr">
        <is>
          <t>Notes</t>
        </is>
      </c>
    </row>
    <row r="19">
      <c r="A19" s="7" t="inlineStr">
        <is>
          <t>GCC (SA, UAE, KW, QA, BH, OM)</t>
        </is>
      </c>
      <c r="B19" s="11" t="n">
        <v>1</v>
      </c>
      <c r="C19" s="11" t="n">
        <v>0.7</v>
      </c>
      <c r="D19" s="11" t="n">
        <v>0.55</v>
      </c>
      <c r="E19" s="11" t="n">
        <v>0.45</v>
      </c>
      <c r="F19" s="11" t="n">
        <v>0.4</v>
      </c>
      <c r="H19" s="2" t="inlineStr">
        <is>
          <t>Share of audience from GCC. Highest ARPU &amp; CPM region.</t>
        </is>
      </c>
    </row>
    <row r="20">
      <c r="A20" s="7" t="inlineStr">
        <is>
          <t>Levant (EG, JO, IQ, LB, PS)</t>
        </is>
      </c>
      <c r="B20" s="11" t="n">
        <v>0</v>
      </c>
      <c r="C20" s="11" t="n">
        <v>0.3</v>
      </c>
      <c r="D20" s="11" t="n">
        <v>0.3</v>
      </c>
      <c r="E20" s="11" t="n">
        <v>0.35</v>
      </c>
      <c r="F20" s="11" t="n">
        <v>0.35</v>
      </c>
      <c r="H20" s="2" t="inlineStr">
        <is>
          <t>Y2 entry. Mid-range ARPU. Largest absolute TAM.</t>
        </is>
      </c>
    </row>
    <row r="21">
      <c r="A21" s="7" t="inlineStr">
        <is>
          <t>North Africa (MA, DZ, TN, LY)</t>
        </is>
      </c>
      <c r="B21" s="11" t="n">
        <v>0</v>
      </c>
      <c r="C21" s="11" t="n">
        <v>0</v>
      </c>
      <c r="D21" s="11" t="n">
        <v>0.15</v>
      </c>
      <c r="E21" s="11" t="n">
        <v>0.2</v>
      </c>
      <c r="F21" s="11" t="n">
        <v>0.25</v>
      </c>
      <c r="H21" s="2" t="inlineStr">
        <is>
          <t>Y3 entry. Lowest ARPU but large volume.</t>
        </is>
      </c>
    </row>
    <row r="22">
      <c r="A22" s="7" t="inlineStr">
        <is>
          <t>Total (must = 100%)</t>
        </is>
      </c>
      <c r="B22" s="12">
        <f>B19+B20+B21</f>
        <v/>
      </c>
      <c r="C22" s="12">
        <f>C19+C20+C21</f>
        <v/>
      </c>
      <c r="D22" s="12">
        <f>D19+D20+D21</f>
        <v/>
      </c>
      <c r="E22" s="12">
        <f>E19+E20+E21</f>
        <v/>
      </c>
      <c r="F22" s="12">
        <f>F19+F20+F21</f>
        <v/>
      </c>
      <c r="H22" s="2" t="inlineStr">
        <is>
          <t>Validation: should always be 1.0.</t>
        </is>
      </c>
    </row>
    <row r="24">
      <c r="A24" s="3" t="inlineStr">
        <is>
          <t>4 — REGIONAL BENCHMARK PARAMETERS</t>
        </is>
      </c>
      <c r="B24" s="4" t="n"/>
      <c r="C24" s="4" t="n"/>
      <c r="D24" s="4" t="n"/>
      <c r="E24" s="4" t="n"/>
      <c r="F24" s="4" t="n"/>
      <c r="H24" s="4" t="n"/>
    </row>
    <row r="25">
      <c r="A25" s="5" t="inlineStr">
        <is>
          <t>Benchmark</t>
        </is>
      </c>
      <c r="B25" s="5" t="inlineStr">
        <is>
          <t>GCC</t>
        </is>
      </c>
      <c r="C25" s="5" t="inlineStr">
        <is>
          <t>Levant</t>
        </is>
      </c>
      <c r="D25" s="5" t="inlineStr">
        <is>
          <t>N.Africa</t>
        </is>
      </c>
      <c r="E25" s="5" t="inlineStr"/>
      <c r="F25" s="5" t="inlineStr"/>
      <c r="H25" s="6" t="inlineStr">
        <is>
          <t>Source / Notes</t>
        </is>
      </c>
    </row>
    <row r="26">
      <c r="A26" s="7" t="inlineStr">
        <is>
          <t>SVOD monthly ARPU (USD)</t>
        </is>
      </c>
      <c r="B26" s="13" t="n">
        <v>8</v>
      </c>
      <c r="C26" s="13" t="n">
        <v>4.5</v>
      </c>
      <c r="D26" s="13" t="n">
        <v>3.5</v>
      </c>
      <c r="H26" s="2" t="inlineStr">
        <is>
          <t>Shahid ~$7-10 GCC, ~$3-5 Levant. Niche can command premium.</t>
        </is>
      </c>
    </row>
    <row r="27">
      <c r="A27" s="7" t="inlineStr">
        <is>
          <t>SVOD monthly churn rate</t>
        </is>
      </c>
      <c r="B27" s="14" t="n">
        <v>0.04</v>
      </c>
      <c r="C27" s="14" t="n">
        <v>0.06</v>
      </c>
      <c r="D27" s="14" t="n">
        <v>0.07000000000000001</v>
      </c>
      <c r="H27" s="2" t="inlineStr">
        <is>
          <t>MENA SVOD 4-8% monthly. Niche horror may see higher engagement = lower churn.</t>
        </is>
      </c>
    </row>
    <row r="28">
      <c r="A28" s="7" t="inlineStr">
        <is>
          <t>AVOD CPM — programmatic (USD)</t>
        </is>
      </c>
      <c r="B28" s="13" t="n">
        <v>10</v>
      </c>
      <c r="C28" s="13" t="n">
        <v>4</v>
      </c>
      <c r="D28" s="13" t="n">
        <v>2.5</v>
      </c>
      <c r="H28" s="2" t="inlineStr">
        <is>
          <t>MENA programmatic video CPM. GCC $8-15, Levant $3-7, N.Africa $2-5.</t>
        </is>
      </c>
    </row>
    <row r="29">
      <c r="A29" s="7" t="inlineStr">
        <is>
          <t>AVOD CPM — direct sold (USD)</t>
        </is>
      </c>
      <c r="B29" s="13" t="n">
        <v>22</v>
      </c>
      <c r="C29" s="13" t="n">
        <v>10</v>
      </c>
      <c r="D29" s="13" t="n">
        <v>6</v>
      </c>
      <c r="H29" s="2" t="inlineStr">
        <is>
          <t>Premium direct deals. Horror niche = brand-safe concerns but cult following.</t>
        </is>
      </c>
    </row>
    <row r="30">
      <c r="A30" s="7" t="inlineStr">
        <is>
          <t>AVOD fill rate (Y1 baseline)</t>
        </is>
      </c>
      <c r="B30" s="14" t="n">
        <v>0.35</v>
      </c>
      <c r="C30" s="14" t="n">
        <v>0.25</v>
      </c>
      <c r="D30" s="14" t="n">
        <v>0.2</v>
      </c>
      <c r="H30" s="2" t="inlineStr">
        <is>
          <t>MENA AVOD fill 20-45%. Grows ~5pp/yr as demand partnerships mature.</t>
        </is>
      </c>
    </row>
    <row r="31">
      <c r="A31" s="7" t="inlineStr">
        <is>
          <t>TVOD avg rental price (USD)</t>
        </is>
      </c>
      <c r="B31" s="13" t="n">
        <v>4.99</v>
      </c>
      <c r="C31" s="13" t="n">
        <v>2.99</v>
      </c>
      <c r="D31" s="13" t="n">
        <v>1.99</v>
      </c>
      <c r="H31" s="2" t="inlineStr">
        <is>
          <t>Regional pricing tiers for 48h rental window.</t>
        </is>
      </c>
    </row>
    <row r="32">
      <c r="A32" s="7" t="inlineStr">
        <is>
          <t>TVOD avg purchase price (USD)</t>
        </is>
      </c>
      <c r="B32" s="13" t="n">
        <v>9.99</v>
      </c>
      <c r="C32" s="13" t="n">
        <v>5.99</v>
      </c>
      <c r="D32" s="13" t="n">
        <v>3.99</v>
      </c>
      <c r="H32" s="2" t="inlineStr">
        <is>
          <t>EST / digital ownership price points.</t>
        </is>
      </c>
    </row>
    <row r="34">
      <c r="A34" s="3" t="inlineStr">
        <is>
          <t>5 — CULTSCALE FEE STRUCTURE</t>
        </is>
      </c>
      <c r="B34" s="4" t="n"/>
      <c r="C34" s="4" t="n"/>
      <c r="D34" s="4" t="n"/>
      <c r="E34" s="4" t="n"/>
      <c r="F34" s="4" t="n"/>
      <c r="H34" s="4" t="n"/>
    </row>
    <row r="35">
      <c r="A35" s="5" t="inlineStr">
        <is>
          <t>Parameter</t>
        </is>
      </c>
      <c r="B35" s="5" t="inlineStr"/>
      <c r="C35" s="5" t="inlineStr"/>
      <c r="D35" s="5" t="inlineStr"/>
      <c r="E35" s="5" t="inlineStr"/>
      <c r="F35" s="5" t="inlineStr"/>
      <c r="H35" s="6" t="inlineStr">
        <is>
          <t>Notes</t>
        </is>
      </c>
    </row>
    <row r="36">
      <c r="A36" s="7" t="inlineStr">
        <is>
          <t>Opex partnership fee rate</t>
        </is>
      </c>
      <c r="B36" s="14" t="n">
        <v>0.15</v>
      </c>
      <c r="H36" s="2" t="inlineStr">
        <is>
          <t>Applied to all platform opex (excl. content). Covers full operational partnership.</t>
        </is>
      </c>
    </row>
    <row r="37">
      <c r="A37" s="7" t="inlineStr">
        <is>
          <t>Net profit participation rate</t>
        </is>
      </c>
      <c r="B37" s="14" t="n">
        <v>0.15</v>
      </c>
      <c r="H37" s="2" t="inlineStr">
        <is>
          <t>Applied to annual net profit. Activates from first profitable year.</t>
        </is>
      </c>
    </row>
    <row r="39">
      <c r="A39" s="3" t="inlineStr">
        <is>
          <t>6 — SHARED PLATFORM OPEX (ex-content, ex-model-specific)</t>
        </is>
      </c>
      <c r="B39" s="4" t="n"/>
      <c r="C39" s="4" t="n"/>
      <c r="D39" s="4" t="n"/>
      <c r="E39" s="4" t="n"/>
      <c r="F39" s="4" t="n"/>
      <c r="H39" s="4" t="n"/>
    </row>
    <row r="40">
      <c r="A40" s="5" t="inlineStr">
        <is>
          <t>Cost line</t>
        </is>
      </c>
      <c r="B40" s="5" t="inlineStr">
        <is>
          <t>Year 1</t>
        </is>
      </c>
      <c r="C40" s="5" t="inlineStr">
        <is>
          <t>Year 2</t>
        </is>
      </c>
      <c r="D40" s="5" t="inlineStr">
        <is>
          <t>Year 3</t>
        </is>
      </c>
      <c r="E40" s="5" t="inlineStr">
        <is>
          <t>Year 4</t>
        </is>
      </c>
      <c r="F40" s="5" t="inlineStr">
        <is>
          <t>Year 5</t>
        </is>
      </c>
      <c r="H40" s="6" t="inlineStr">
        <is>
          <t>Description</t>
        </is>
      </c>
    </row>
    <row r="41">
      <c r="A41" s="7" t="inlineStr">
        <is>
          <t>Tech &amp; platform ops</t>
        </is>
      </c>
      <c r="B41" s="15" t="n">
        <v>446628</v>
      </c>
      <c r="C41" s="15" t="n">
        <v>635068</v>
      </c>
      <c r="D41" s="15" t="n">
        <v>794598</v>
      </c>
      <c r="E41" s="15" t="n">
        <v>1041101</v>
      </c>
      <c r="F41" s="15" t="n">
        <v>1270257</v>
      </c>
      <c r="H41" s="2" t="inlineStr">
        <is>
          <t>SaaS, CDN, hosting, GPU, CMS, analytics, sub/dub, QC, DRM, security &amp; dev.</t>
        </is>
      </c>
    </row>
    <row r="42">
      <c r="A42" s="7" t="inlineStr">
        <is>
          <t>Marketing &amp; user acquisition</t>
        </is>
      </c>
      <c r="B42" s="15" t="n">
        <v>186000</v>
      </c>
      <c r="C42" s="15" t="n">
        <v>291900</v>
      </c>
      <c r="D42" s="15" t="n">
        <v>390485</v>
      </c>
      <c r="E42" s="15" t="n">
        <v>612217</v>
      </c>
      <c r="F42" s="15" t="n">
        <v>677642</v>
      </c>
      <c r="H42" s="2" t="inlineStr">
        <is>
          <t>Paid acquisition, social, PR, creative, influencer, events, territory launches.</t>
        </is>
      </c>
    </row>
    <row r="43">
      <c r="A43" s="7" t="inlineStr">
        <is>
          <t>B2B &amp; distribution development</t>
        </is>
      </c>
      <c r="B43" s="15" t="n">
        <v>45000</v>
      </c>
      <c r="C43" s="15" t="n">
        <v>97800</v>
      </c>
      <c r="D43" s="15" t="n">
        <v>135870</v>
      </c>
      <c r="E43" s="15" t="n">
        <v>174250</v>
      </c>
      <c r="F43" s="15" t="n">
        <v>212988</v>
      </c>
      <c r="H43" s="2" t="inlineStr">
        <is>
          <t>Deal structuring, partner management, integration &amp; tech support.</t>
        </is>
      </c>
    </row>
    <row r="44">
      <c r="A44" s="7" t="inlineStr">
        <is>
          <t>Team &amp; customer support</t>
        </is>
      </c>
      <c r="B44" s="15" t="n">
        <v>134760</v>
      </c>
      <c r="C44" s="15" t="n">
        <v>184320</v>
      </c>
      <c r="D44" s="15" t="n">
        <v>212640</v>
      </c>
      <c r="E44" s="15" t="n">
        <v>304680</v>
      </c>
      <c r="F44" s="15" t="n">
        <v>333000</v>
      </c>
      <c r="H44" s="2" t="inlineStr">
        <is>
          <t>Ops, CS, content ops headcount. See Opex Rationale.</t>
        </is>
      </c>
    </row>
    <row r="45">
      <c r="A45" s="7" t="inlineStr">
        <is>
          <t>Legal, finance &amp; admin</t>
        </is>
      </c>
      <c r="B45" s="15" t="n">
        <v>87600</v>
      </c>
      <c r="C45" s="15" t="n">
        <v>95400</v>
      </c>
      <c r="D45" s="15" t="n">
        <v>104070</v>
      </c>
      <c r="E45" s="15" t="n">
        <v>113710</v>
      </c>
      <c r="F45" s="15" t="n">
        <v>124434</v>
      </c>
      <c r="H45" s="2" t="inlineStr">
        <is>
          <t>Legal retainer, rights, regulatory, audit, insurance, admin.</t>
        </is>
      </c>
    </row>
    <row r="46">
      <c r="A46" s="16" t="inlineStr">
        <is>
          <t>Total shared platform opex</t>
        </is>
      </c>
      <c r="B46" s="17">
        <f>SUM(B41:B45)</f>
        <v/>
      </c>
      <c r="C46" s="17">
        <f>SUM(C41:C45)</f>
        <v/>
      </c>
      <c r="D46" s="17">
        <f>SUM(D41:D45)</f>
        <v/>
      </c>
      <c r="E46" s="17">
        <f>SUM(E41:E45)</f>
        <v/>
      </c>
      <c r="F46" s="17">
        <f>SUM(F41:F45)</f>
        <v/>
      </c>
      <c r="H46" s="2" t="inlineStr">
        <is>
          <t>Allocated across models by revenue weight in Consolidated sheet.</t>
        </is>
      </c>
    </row>
  </sheetData>
  <mergeCells count="3">
    <mergeCell ref="B7:F7"/>
    <mergeCell ref="B6:F6"/>
    <mergeCell ref="B8:F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78A3C"/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55" customWidth="1" min="8" max="8"/>
  </cols>
  <sheetData>
    <row r="1">
      <c r="A1" s="1" t="inlineStr">
        <is>
          <t>SVOD MODEL — SUBSCRIPTION VIDEO ON DEMAND</t>
        </is>
      </c>
    </row>
    <row r="2">
      <c r="A2" s="2" t="inlineStr">
        <is>
          <t>Subscriber dynamics with proper churn math. Yellow cells = inputs. Blue cells = formulas.</t>
        </is>
      </c>
    </row>
    <row r="4">
      <c r="A4" s="3" t="inlineStr">
        <is>
          <t>1 — SUBSCRIBER INPUTS</t>
        </is>
      </c>
      <c r="B4" s="4" t="n"/>
      <c r="C4" s="4" t="n"/>
      <c r="D4" s="4" t="n"/>
      <c r="E4" s="4" t="n"/>
      <c r="F4" s="4" t="n"/>
      <c r="H4" s="4" t="n"/>
    </row>
    <row r="5">
      <c r="A5" s="5" t="inlineStr">
        <is>
          <t>Metric</t>
        </is>
      </c>
      <c r="B5" s="5" t="inlineStr">
        <is>
          <t>Year 1</t>
        </is>
      </c>
      <c r="C5" s="5" t="inlineStr">
        <is>
          <t>Year 2</t>
        </is>
      </c>
      <c r="D5" s="5" t="inlineStr">
        <is>
          <t>Year 3</t>
        </is>
      </c>
      <c r="E5" s="5" t="inlineStr">
        <is>
          <t>Year 4</t>
        </is>
      </c>
      <c r="F5" s="5" t="inlineStr">
        <is>
          <t>Year 5</t>
        </is>
      </c>
      <c r="H5" s="6" t="inlineStr">
        <is>
          <t>Notes</t>
        </is>
      </c>
    </row>
    <row r="6">
      <c r="A6" s="7" t="inlineStr">
        <is>
          <t>D2C subscribers (end of year)</t>
        </is>
      </c>
      <c r="B6" s="9" t="n">
        <v>12000</v>
      </c>
      <c r="C6" s="9" t="n">
        <v>32000</v>
      </c>
      <c r="D6" s="9" t="n">
        <v>50000</v>
      </c>
      <c r="E6" s="9" t="n">
        <v>80000</v>
      </c>
      <c r="F6" s="9" t="n">
        <v>110000</v>
      </c>
      <c r="H6" s="2" t="inlineStr">
        <is>
          <t>Target EoY paying D2C subs. GCC-first Y1, Levant Y2, N.Africa Y3+.</t>
        </is>
      </c>
    </row>
    <row r="7">
      <c r="A7" s="7" t="inlineStr">
        <is>
          <t>D2C subscribers (start of year)</t>
        </is>
      </c>
      <c r="B7" s="10">
        <f>0</f>
        <v/>
      </c>
      <c r="C7" s="10">
        <f>B6</f>
        <v/>
      </c>
      <c r="D7" s="10">
        <f>C6</f>
        <v/>
      </c>
      <c r="E7" s="10">
        <f>D6</f>
        <v/>
      </c>
      <c r="F7" s="10">
        <f>E6</f>
        <v/>
      </c>
      <c r="H7" s="2" t="inlineStr">
        <is>
          <t>Previous year end = current year start.</t>
        </is>
      </c>
    </row>
    <row r="8">
      <c r="A8" s="7" t="inlineStr">
        <is>
          <t>Blended monthly churn rate</t>
        </is>
      </c>
      <c r="B8" s="12">
        <f>'Platform Config'!B27*'Platform Config'!B19+'Platform Config'!C27*'Platform Config'!B20+'Platform Config'!D27*'Platform Config'!B21</f>
        <v/>
      </c>
      <c r="C8" s="12">
        <f>'Platform Config'!B27*'Platform Config'!C19+'Platform Config'!C27*'Platform Config'!C20+'Platform Config'!D27*'Platform Config'!C21</f>
        <v/>
      </c>
      <c r="D8" s="12">
        <f>'Platform Config'!B27*'Platform Config'!D19+'Platform Config'!C27*'Platform Config'!D20+'Platform Config'!D27*'Platform Config'!D21</f>
        <v/>
      </c>
      <c r="E8" s="12">
        <f>'Platform Config'!B27*'Platform Config'!E19+'Platform Config'!C27*'Platform Config'!E20+'Platform Config'!D27*'Platform Config'!E21</f>
        <v/>
      </c>
      <c r="F8" s="12">
        <f>'Platform Config'!B27*'Platform Config'!F19+'Platform Config'!C27*'Platform Config'!F20+'Platform Config'!D27*'Platform Config'!F21</f>
        <v/>
      </c>
      <c r="H8" s="2" t="inlineStr">
        <is>
          <t>Weighted by territory mix from Platform Config.</t>
        </is>
      </c>
    </row>
    <row r="9">
      <c r="A9" s="7" t="inlineStr">
        <is>
          <t>Annualized churn rate</t>
        </is>
      </c>
      <c r="B9" s="12">
        <f>1-(1-B8)^12</f>
        <v/>
      </c>
      <c r="C9" s="12">
        <f>1-(1-C8)^12</f>
        <v/>
      </c>
      <c r="D9" s="12">
        <f>1-(1-D8)^12</f>
        <v/>
      </c>
      <c r="E9" s="12">
        <f>1-(1-E8)^12</f>
        <v/>
      </c>
      <c r="F9" s="12">
        <f>1-(1-F8)^12</f>
        <v/>
      </c>
      <c r="H9" s="2" t="inlineStr">
        <is>
          <t>1 - (1 - monthly_churn)^12. Proper compounding.</t>
        </is>
      </c>
    </row>
    <row r="10">
      <c r="A10" s="7" t="inlineStr">
        <is>
          <t>Subscribers churned (annual)</t>
        </is>
      </c>
      <c r="B10" s="10">
        <f>ROUND(B7*B9,0)</f>
        <v/>
      </c>
      <c r="C10" s="10">
        <f>ROUND(C7*C9,0)</f>
        <v/>
      </c>
      <c r="D10" s="10">
        <f>ROUND(D7*D9,0)</f>
        <v/>
      </c>
      <c r="E10" s="10">
        <f>ROUND(E7*E9,0)</f>
        <v/>
      </c>
      <c r="F10" s="10">
        <f>ROUND(F7*F9,0)</f>
        <v/>
      </c>
      <c r="H10" s="2" t="inlineStr">
        <is>
          <t>BoY subs × annualized churn. These must be replaced + net growth.</t>
        </is>
      </c>
    </row>
    <row r="11">
      <c r="A11" s="7" t="inlineStr">
        <is>
          <t>Net subscriber additions</t>
        </is>
      </c>
      <c r="B11" s="10">
        <f>B6-B7</f>
        <v/>
      </c>
      <c r="C11" s="10">
        <f>C6-C7</f>
        <v/>
      </c>
      <c r="D11" s="10">
        <f>D6-D7</f>
        <v/>
      </c>
      <c r="E11" s="10">
        <f>E6-E7</f>
        <v/>
      </c>
      <c r="F11" s="10">
        <f>F6-F7</f>
        <v/>
      </c>
      <c r="H11" s="2" t="inlineStr">
        <is>
          <t>EoY minus BoY. Net growth in the year.</t>
        </is>
      </c>
    </row>
    <row r="12">
      <c r="A12" s="7" t="inlineStr">
        <is>
          <t>Gross subscriber additions</t>
        </is>
      </c>
      <c r="B12" s="10">
        <f>B11+B10</f>
        <v/>
      </c>
      <c r="C12" s="10">
        <f>C11+C10</f>
        <v/>
      </c>
      <c r="D12" s="10">
        <f>D11+D10</f>
        <v/>
      </c>
      <c r="E12" s="10">
        <f>E11+E10</f>
        <v/>
      </c>
      <c r="F12" s="10">
        <f>F11+F10</f>
        <v/>
      </c>
      <c r="H12" s="2" t="inlineStr">
        <is>
          <t>Net adds + churned = total new subs acquired.</t>
        </is>
      </c>
    </row>
    <row r="13">
      <c r="A13" s="7" t="inlineStr">
        <is>
          <t>Average active D2C subs (mid-year)</t>
        </is>
      </c>
      <c r="B13" s="10">
        <f>(B7+B6)/2</f>
        <v/>
      </c>
      <c r="C13" s="10">
        <f>(C7+C6)/2</f>
        <v/>
      </c>
      <c r="D13" s="10">
        <f>(D7+D6)/2</f>
        <v/>
      </c>
      <c r="E13" s="10">
        <f>(E7+E6)/2</f>
        <v/>
      </c>
      <c r="F13" s="10">
        <f>(F7+F6)/2</f>
        <v/>
      </c>
      <c r="H13" s="2" t="inlineStr">
        <is>
          <t>Simple average of BoY and EoY for revenue calculation.</t>
        </is>
      </c>
    </row>
    <row r="15">
      <c r="A15" s="3" t="inlineStr">
        <is>
          <t>2 — PRICING &amp; ARPU</t>
        </is>
      </c>
      <c r="B15" s="4" t="n"/>
      <c r="C15" s="4" t="n"/>
      <c r="D15" s="4" t="n"/>
      <c r="E15" s="4" t="n"/>
      <c r="F15" s="4" t="n"/>
      <c r="H15" s="4" t="n"/>
    </row>
    <row r="16">
      <c r="A16" s="5" t="inlineStr">
        <is>
          <t>Metric</t>
        </is>
      </c>
      <c r="B16" s="5" t="inlineStr">
        <is>
          <t>Year 1</t>
        </is>
      </c>
      <c r="C16" s="5" t="inlineStr">
        <is>
          <t>Year 2</t>
        </is>
      </c>
      <c r="D16" s="5" t="inlineStr">
        <is>
          <t>Year 3</t>
        </is>
      </c>
      <c r="E16" s="5" t="inlineStr">
        <is>
          <t>Year 4</t>
        </is>
      </c>
      <c r="F16" s="5" t="inlineStr">
        <is>
          <t>Year 5</t>
        </is>
      </c>
      <c r="H16" s="6" t="inlineStr">
        <is>
          <t>Notes</t>
        </is>
      </c>
    </row>
    <row r="17">
      <c r="A17" s="7" t="inlineStr">
        <is>
          <t>Blended monthly ARPU (USD)</t>
        </is>
      </c>
      <c r="B17" s="18">
        <f>'Platform Config'!B26*'Platform Config'!B19+'Platform Config'!C26*'Platform Config'!B20+'Platform Config'!D26*'Platform Config'!B21</f>
        <v/>
      </c>
      <c r="C17" s="18">
        <f>'Platform Config'!B26*'Platform Config'!C19+'Platform Config'!C26*'Platform Config'!C20+'Platform Config'!D26*'Platform Config'!C21</f>
        <v/>
      </c>
      <c r="D17" s="18">
        <f>'Platform Config'!B26*'Platform Config'!D19+'Platform Config'!C26*'Platform Config'!D20+'Platform Config'!D26*'Platform Config'!D21</f>
        <v/>
      </c>
      <c r="E17" s="18">
        <f>'Platform Config'!B26*'Platform Config'!E19+'Platform Config'!C26*'Platform Config'!E20+'Platform Config'!D26*'Platform Config'!E21</f>
        <v/>
      </c>
      <c r="F17" s="18">
        <f>'Platform Config'!B26*'Platform Config'!F19+'Platform Config'!C26*'Platform Config'!F20+'Platform Config'!D26*'Platform Config'!F21</f>
        <v/>
      </c>
      <c r="H17" s="2" t="inlineStr">
        <is>
          <t>Weighted by territory mix. GCC pulls up, N.Africa pulls down.</t>
        </is>
      </c>
    </row>
    <row r="18">
      <c r="A18" s="7" t="inlineStr">
        <is>
          <t>Effective paying rate (%)</t>
        </is>
      </c>
      <c r="B18" s="11" t="n">
        <v>1</v>
      </c>
      <c r="C18" s="11" t="n">
        <v>0.61</v>
      </c>
      <c r="D18" s="11" t="n">
        <v>0.61</v>
      </c>
      <c r="E18" s="11" t="n">
        <v>0.6</v>
      </c>
      <c r="F18" s="11" t="n">
        <v>0.58</v>
      </c>
      <c r="H18" s="2" t="inlineStr">
        <is>
          <t>Accounts for churn timing within year. Y1=100% (all new subs).</t>
        </is>
      </c>
    </row>
    <row r="19">
      <c r="A19" s="7" t="inlineStr">
        <is>
          <t>B2B subs — activated via telco/IPTV (EoY)</t>
        </is>
      </c>
      <c r="B19" s="9" t="n">
        <v>0</v>
      </c>
      <c r="C19" s="9" t="n">
        <v>7000</v>
      </c>
      <c r="D19" s="9" t="n">
        <v>18000</v>
      </c>
      <c r="E19" s="9" t="n">
        <v>35000</v>
      </c>
      <c r="F19" s="9" t="n">
        <v>55000</v>
      </c>
      <c r="H19" s="2" t="inlineStr">
        <is>
          <t>Telco-activated subs. Recognised when active on platform.</t>
        </is>
      </c>
    </row>
    <row r="20">
      <c r="A20" s="7" t="inlineStr">
        <is>
          <t>B2B ARPU (USD/activated sub/month)</t>
        </is>
      </c>
      <c r="B20" s="19" t="n">
        <v>2</v>
      </c>
      <c r="C20" s="19" t="n">
        <v>2</v>
      </c>
      <c r="D20" s="19" t="n">
        <v>2</v>
      </c>
      <c r="E20" s="19" t="n">
        <v>2</v>
      </c>
      <c r="F20" s="19" t="n">
        <v>2</v>
      </c>
      <c r="H20" s="2" t="inlineStr">
        <is>
          <t>Wholesale rate. Contractually fixed per deal.</t>
        </is>
      </c>
    </row>
    <row r="22">
      <c r="A22" s="3" t="inlineStr">
        <is>
          <t>3 — REVENUE DERIVATION</t>
        </is>
      </c>
      <c r="B22" s="4" t="n"/>
      <c r="C22" s="4" t="n"/>
      <c r="D22" s="4" t="n"/>
      <c r="E22" s="4" t="n"/>
      <c r="F22" s="4" t="n"/>
      <c r="H22" s="4" t="n"/>
    </row>
    <row r="23">
      <c r="A23" s="5" t="inlineStr">
        <is>
          <t>Revenue line</t>
        </is>
      </c>
      <c r="B23" s="5" t="inlineStr">
        <is>
          <t>Year 1</t>
        </is>
      </c>
      <c r="C23" s="5" t="inlineStr">
        <is>
          <t>Year 2</t>
        </is>
      </c>
      <c r="D23" s="5" t="inlineStr">
        <is>
          <t>Year 3</t>
        </is>
      </c>
      <c r="E23" s="5" t="inlineStr">
        <is>
          <t>Year 4</t>
        </is>
      </c>
      <c r="F23" s="5" t="inlineStr">
        <is>
          <t>Year 5</t>
        </is>
      </c>
      <c r="H23" s="6" t="inlineStr">
        <is>
          <t>Basis</t>
        </is>
      </c>
    </row>
    <row r="24">
      <c r="A24" s="7" t="inlineStr">
        <is>
          <t>D2C subscription revenue</t>
        </is>
      </c>
      <c r="B24" s="20">
        <f>ROUND(B13*B18*B17*12,0)</f>
        <v/>
      </c>
      <c r="C24" s="20">
        <f>ROUND(C13*C18*C17*12,0)</f>
        <v/>
      </c>
      <c r="D24" s="20">
        <f>ROUND(D13*D18*D17*12,0)</f>
        <v/>
      </c>
      <c r="E24" s="20">
        <f>ROUND(E13*E18*E17*12,0)</f>
        <v/>
      </c>
      <c r="F24" s="20">
        <f>ROUND(F13*F18*F17*12,0)</f>
        <v/>
      </c>
      <c r="H24" s="2" t="inlineStr">
        <is>
          <t>avg_subs × paying_rate × ARPU × 12 months.</t>
        </is>
      </c>
    </row>
    <row r="25">
      <c r="A25" s="7" t="inlineStr">
        <is>
          <t>B2B / telco revenue</t>
        </is>
      </c>
      <c r="B25" s="20">
        <f>ROUND((0+B19)/2*B20*12,0)</f>
        <v/>
      </c>
      <c r="C25" s="20">
        <f>ROUND((B19+C19)/2*C20*12,0)</f>
        <v/>
      </c>
      <c r="D25" s="20">
        <f>ROUND((C19+D19)/2*D20*12,0)</f>
        <v/>
      </c>
      <c r="E25" s="20">
        <f>ROUND((D19+E19)/2*E20*12,0)</f>
        <v/>
      </c>
      <c r="F25" s="20">
        <f>ROUND((E19+F19)/2*F20*12,0)</f>
        <v/>
      </c>
      <c r="H25" s="2" t="inlineStr">
        <is>
          <t>avg(prev_EoY, curr_EoY) × B2B ARPU × 12.</t>
        </is>
      </c>
    </row>
    <row r="26">
      <c r="A26" s="16" t="inlineStr">
        <is>
          <t>Total SVOD revenue</t>
        </is>
      </c>
      <c r="B26" s="17">
        <f>B24+B25</f>
        <v/>
      </c>
      <c r="C26" s="17">
        <f>C24+C25</f>
        <v/>
      </c>
      <c r="D26" s="17">
        <f>D24+D25</f>
        <v/>
      </c>
      <c r="E26" s="17">
        <f>E24+E25</f>
        <v/>
      </c>
      <c r="F26" s="17">
        <f>F24+F25</f>
        <v/>
      </c>
      <c r="H26" s="2" t="inlineStr">
        <is>
          <t>D2C + B2B combined.</t>
        </is>
      </c>
    </row>
    <row r="28">
      <c r="A28" s="3" t="inlineStr">
        <is>
          <t>4 — UNIT ECONOMICS</t>
        </is>
      </c>
      <c r="B28" s="4" t="n"/>
      <c r="C28" s="4" t="n"/>
      <c r="D28" s="4" t="n"/>
      <c r="E28" s="4" t="n"/>
      <c r="F28" s="4" t="n"/>
      <c r="H28" s="4" t="n"/>
    </row>
    <row r="29">
      <c r="A29" s="5" t="inlineStr">
        <is>
          <t>Metric</t>
        </is>
      </c>
      <c r="B29" s="5" t="inlineStr">
        <is>
          <t>Year 1</t>
        </is>
      </c>
      <c r="C29" s="5" t="inlineStr">
        <is>
          <t>Year 2</t>
        </is>
      </c>
      <c r="D29" s="5" t="inlineStr">
        <is>
          <t>Year 3</t>
        </is>
      </c>
      <c r="E29" s="5" t="inlineStr">
        <is>
          <t>Year 4</t>
        </is>
      </c>
      <c r="F29" s="5" t="inlineStr">
        <is>
          <t>Year 5</t>
        </is>
      </c>
      <c r="H29" s="6" t="inlineStr">
        <is>
          <t>Notes</t>
        </is>
      </c>
    </row>
    <row r="30">
      <c r="A30" s="7" t="inlineStr">
        <is>
          <t>Customer acquisition cost (CAC, $/sub)</t>
        </is>
      </c>
      <c r="B30" s="19" t="n">
        <v>7.5</v>
      </c>
      <c r="C30" s="19" t="n">
        <v>7.5</v>
      </c>
      <c r="D30" s="19" t="n">
        <v>10</v>
      </c>
      <c r="E30" s="19" t="n">
        <v>12</v>
      </c>
      <c r="F30" s="19" t="n">
        <v>14</v>
      </c>
      <c r="H30" s="2" t="inlineStr">
        <is>
          <t>Blended CAC across paid digital. Rises as easy users exhausted.</t>
        </is>
      </c>
    </row>
    <row r="31">
      <c r="A31" s="7" t="inlineStr">
        <is>
          <t>Subscriber LTV (ARPU / monthly churn)</t>
        </is>
      </c>
      <c r="B31" s="18">
        <f>IF(B8&gt;0,B17/B8,0)</f>
        <v/>
      </c>
      <c r="C31" s="18">
        <f>IF(C8&gt;0,C17/C8,0)</f>
        <v/>
      </c>
      <c r="D31" s="18">
        <f>IF(D8&gt;0,D17/D8,0)</f>
        <v/>
      </c>
      <c r="E31" s="18">
        <f>IF(E8&gt;0,E17/E8,0)</f>
        <v/>
      </c>
      <c r="F31" s="18">
        <f>IF(F8&gt;0,F17/F8,0)</f>
        <v/>
      </c>
      <c r="H31" s="2" t="inlineStr">
        <is>
          <t>Lifetime value = monthly ARPU / monthly churn.</t>
        </is>
      </c>
    </row>
    <row r="32">
      <c r="A32" s="7" t="inlineStr">
        <is>
          <t>LTV:CAC ratio</t>
        </is>
      </c>
      <c r="B32" s="21">
        <f>IF(B30&gt;0,B31/B30,0)</f>
        <v/>
      </c>
      <c r="C32" s="21">
        <f>IF(C30&gt;0,C31/C30,0)</f>
        <v/>
      </c>
      <c r="D32" s="21">
        <f>IF(D30&gt;0,D31/D30,0)</f>
        <v/>
      </c>
      <c r="E32" s="21">
        <f>IF(E30&gt;0,E31/E30,0)</f>
        <v/>
      </c>
      <c r="F32" s="21">
        <f>IF(F30&gt;0,F31/F30,0)</f>
        <v/>
      </c>
      <c r="H32" s="2" t="inlineStr">
        <is>
          <t>Target &gt;3x for healthy unit economics.</t>
        </is>
      </c>
    </row>
    <row r="33">
      <c r="A33" s="7" t="inlineStr">
        <is>
          <t>CAC payback (months)</t>
        </is>
      </c>
      <c r="B33" s="22">
        <f>IF(B17&gt;0,B30/B17,0)</f>
        <v/>
      </c>
      <c r="C33" s="22">
        <f>IF(C17&gt;0,C30/C17,0)</f>
        <v/>
      </c>
      <c r="D33" s="22">
        <f>IF(D17&gt;0,D30/D17,0)</f>
        <v/>
      </c>
      <c r="E33" s="22">
        <f>IF(E17&gt;0,E30/E17,0)</f>
        <v/>
      </c>
      <c r="F33" s="22">
        <f>IF(F17&gt;0,F30/F17,0)</f>
        <v/>
      </c>
      <c r="H33" s="2" t="inlineStr">
        <is>
          <t>Months to recover CAC from ARPU. Target &lt;6mo.</t>
        </is>
      </c>
    </row>
    <row r="34">
      <c r="A34" s="7" t="inlineStr">
        <is>
          <t>Total acquisition spend</t>
        </is>
      </c>
      <c r="B34" s="20">
        <f>ROUND(B12*B30,0)</f>
        <v/>
      </c>
      <c r="C34" s="20">
        <f>ROUND(C12*C30,0)</f>
        <v/>
      </c>
      <c r="D34" s="20">
        <f>ROUND(D12*D30,0)</f>
        <v/>
      </c>
      <c r="E34" s="20">
        <f>ROUND(E12*E30,0)</f>
        <v/>
      </c>
      <c r="F34" s="20">
        <f>ROUND(F12*F30,0)</f>
        <v/>
      </c>
      <c r="H34" s="2" t="inlineStr">
        <is>
          <t>Gross adds × CAC. Included in marketing opex.</t>
        </is>
      </c>
    </row>
    <row r="36">
      <c r="A36" s="3" t="inlineStr">
        <is>
          <t>5 — SVOD-SPECIFIC COSTS (in addition to shared opex)</t>
        </is>
      </c>
      <c r="B36" s="4" t="n"/>
      <c r="C36" s="4" t="n"/>
      <c r="D36" s="4" t="n"/>
      <c r="E36" s="4" t="n"/>
      <c r="F36" s="4" t="n"/>
      <c r="H36" s="4" t="n"/>
    </row>
    <row r="37">
      <c r="A37" s="5" t="inlineStr">
        <is>
          <t>Cost line</t>
        </is>
      </c>
      <c r="B37" s="5" t="inlineStr">
        <is>
          <t>Year 1</t>
        </is>
      </c>
      <c r="C37" s="5" t="inlineStr">
        <is>
          <t>Year 2</t>
        </is>
      </c>
      <c r="D37" s="5" t="inlineStr">
        <is>
          <t>Year 3</t>
        </is>
      </c>
      <c r="E37" s="5" t="inlineStr">
        <is>
          <t>Year 4</t>
        </is>
      </c>
      <c r="F37" s="5" t="inlineStr">
        <is>
          <t>Year 5</t>
        </is>
      </c>
      <c r="H37" s="6" t="inlineStr">
        <is>
          <t>Notes</t>
        </is>
      </c>
    </row>
    <row r="38">
      <c r="A38" s="7" t="inlineStr">
        <is>
          <t>Content licensing / amortisation</t>
        </is>
      </c>
      <c r="B38" s="15" t="n">
        <v>204400</v>
      </c>
      <c r="C38" s="15" t="n">
        <v>218400</v>
      </c>
      <c r="D38" s="15" t="n">
        <v>232400</v>
      </c>
      <c r="E38" s="15" t="n">
        <v>246400</v>
      </c>
      <c r="F38" s="15" t="n">
        <v>260400</v>
      </c>
      <c r="H38" s="2" t="inlineStr">
        <is>
          <t>Initial library amort + annual refresh. See Distributor Return.</t>
        </is>
      </c>
    </row>
    <row r="39">
      <c r="A39" s="16" t="inlineStr">
        <is>
          <t>Total SVOD-specific costs</t>
        </is>
      </c>
      <c r="B39" s="17">
        <f>B38</f>
        <v/>
      </c>
      <c r="C39" s="17">
        <f>C38</f>
        <v/>
      </c>
      <c r="D39" s="17">
        <f>D38</f>
        <v/>
      </c>
      <c r="E39" s="17">
        <f>E38</f>
        <v/>
      </c>
      <c r="F39" s="17">
        <f>F38</f>
        <v/>
      </c>
      <c r="H39" s="2" t="inlineStr">
        <is>
          <t>Content costs specific to subscription model.</t>
        </is>
      </c>
    </row>
    <row r="41">
      <c r="A41" s="3" t="inlineStr">
        <is>
          <t>6 — KEY SVOD METRICS</t>
        </is>
      </c>
      <c r="B41" s="4" t="n"/>
      <c r="C41" s="4" t="n"/>
      <c r="D41" s="4" t="n"/>
      <c r="E41" s="4" t="n"/>
      <c r="F41" s="4" t="n"/>
      <c r="H41" s="4" t="n"/>
    </row>
    <row r="42">
      <c r="A42" s="5" t="inlineStr">
        <is>
          <t>Metric</t>
        </is>
      </c>
      <c r="B42" s="5" t="inlineStr">
        <is>
          <t>Year 1</t>
        </is>
      </c>
      <c r="C42" s="5" t="inlineStr">
        <is>
          <t>Year 2</t>
        </is>
      </c>
      <c r="D42" s="5" t="inlineStr">
        <is>
          <t>Year 3</t>
        </is>
      </c>
      <c r="E42" s="5" t="inlineStr">
        <is>
          <t>Year 4</t>
        </is>
      </c>
      <c r="F42" s="5" t="inlineStr">
        <is>
          <t>Year 5</t>
        </is>
      </c>
      <c r="H42" s="6" t="inlineStr">
        <is>
          <t>Notes</t>
        </is>
      </c>
    </row>
    <row r="43">
      <c r="A43" s="7" t="inlineStr">
        <is>
          <t>Total subs (D2C + B2B, EoY)</t>
        </is>
      </c>
      <c r="B43" s="10">
        <f>B6+B19</f>
        <v/>
      </c>
      <c r="C43" s="10">
        <f>C6+C19</f>
        <v/>
      </c>
      <c r="D43" s="10">
        <f>D6+D19</f>
        <v/>
      </c>
      <c r="E43" s="10">
        <f>E6+E19</f>
        <v/>
      </c>
      <c r="F43" s="10">
        <f>F6+F19</f>
        <v/>
      </c>
      <c r="H43" s="2" t="inlineStr">
        <is>
          <t>Combined platform reach.</t>
        </is>
      </c>
    </row>
    <row r="44">
      <c r="A44" s="7" t="inlineStr">
        <is>
          <t>Blended ARPU (implied, $/mo)</t>
        </is>
      </c>
      <c r="B44" s="18">
        <f>IFERROR(B26/12/(B13*B18+B19),0)</f>
        <v/>
      </c>
      <c r="C44" s="18">
        <f>IFERROR(C26/12/(C13*C18+C19),0)</f>
        <v/>
      </c>
      <c r="D44" s="18">
        <f>IFERROR(D26/12/(D13*D18+D19),0)</f>
        <v/>
      </c>
      <c r="E44" s="18">
        <f>IFERROR(E26/12/(E13*E18+E19),0)</f>
        <v/>
      </c>
      <c r="F44" s="18">
        <f>IFERROR(F26/12/(F13*F18+F19),0)</f>
        <v/>
      </c>
      <c r="H44" s="2" t="inlineStr">
        <is>
          <t>Total revenue / 12 / total avg active subs.</t>
        </is>
      </c>
    </row>
    <row r="45">
      <c r="A45" s="7" t="inlineStr">
        <is>
          <t>Revenue per title (annual)</t>
        </is>
      </c>
      <c r="B45" s="20">
        <f>IF('Platform Config'!B15&gt;0,B26/'Platform Config'!B15,0)</f>
        <v/>
      </c>
      <c r="C45" s="20">
        <f>IF('Platform Config'!C15&gt;0,C26/'Platform Config'!C15,0)</f>
        <v/>
      </c>
      <c r="D45" s="20">
        <f>IF('Platform Config'!D15&gt;0,D26/'Platform Config'!D15,0)</f>
        <v/>
      </c>
      <c r="E45" s="20">
        <f>IF('Platform Config'!E15&gt;0,E26/'Platform Config'!E15,0)</f>
        <v/>
      </c>
      <c r="F45" s="20">
        <f>IF('Platform Config'!F15&gt;0,F26/'Platform Config'!F15,0)</f>
        <v/>
      </c>
      <c r="H45" s="2" t="inlineStr">
        <is>
          <t>Measures catalogue monetisation efficiency.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B78A3C"/>
    <outlinePr summaryBelow="1" summaryRight="1"/>
    <pageSetUpPr/>
  </sheetPr>
  <dimension ref="A1:H45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55" customWidth="1" min="8" max="8"/>
  </cols>
  <sheetData>
    <row r="1">
      <c r="A1" s="1" t="inlineStr">
        <is>
          <t>AVOD MODEL — AD-SUPPORTED VIDEO ON DEMAND</t>
        </is>
      </c>
    </row>
    <row r="2">
      <c r="A2" s="2" t="inlineStr">
        <is>
          <t>Audience-driven. Revenue = impressions × fill rate × CPM. Yellow = inputs, blue = formulas.</t>
        </is>
      </c>
    </row>
    <row r="4">
      <c r="A4" s="3" t="inlineStr">
        <is>
          <t>1 — AUDIENCE &amp; ENGAGEMENT</t>
        </is>
      </c>
      <c r="B4" s="4" t="n"/>
      <c r="C4" s="4" t="n"/>
      <c r="D4" s="4" t="n"/>
      <c r="E4" s="4" t="n"/>
      <c r="F4" s="4" t="n"/>
      <c r="H4" s="4" t="n"/>
    </row>
    <row r="5">
      <c r="A5" s="5" t="inlineStr">
        <is>
          <t>Metric</t>
        </is>
      </c>
      <c r="B5" s="5" t="inlineStr">
        <is>
          <t>Year 1</t>
        </is>
      </c>
      <c r="C5" s="5" t="inlineStr">
        <is>
          <t>Year 2</t>
        </is>
      </c>
      <c r="D5" s="5" t="inlineStr">
        <is>
          <t>Year 3</t>
        </is>
      </c>
      <c r="E5" s="5" t="inlineStr">
        <is>
          <t>Year 4</t>
        </is>
      </c>
      <c r="F5" s="5" t="inlineStr">
        <is>
          <t>Year 5</t>
        </is>
      </c>
      <c r="H5" s="6" t="inlineStr">
        <is>
          <t>Notes</t>
        </is>
      </c>
    </row>
    <row r="6">
      <c r="A6" s="7" t="inlineStr">
        <is>
          <t>Monthly active users (MAU, end of year)</t>
        </is>
      </c>
      <c r="B6" s="9" t="n">
        <v>30000</v>
      </c>
      <c r="C6" s="9" t="n">
        <v>95000</v>
      </c>
      <c r="D6" s="9" t="n">
        <v>200000</v>
      </c>
      <c r="E6" s="9" t="n">
        <v>380000</v>
      </c>
      <c r="F6" s="9" t="n">
        <v>600000</v>
      </c>
      <c r="H6" s="2" t="inlineStr">
        <is>
          <t>Free tier users. AVOD TAM is 5-10x SVOD in MENA. Horror = viral discovery.</t>
        </is>
      </c>
    </row>
    <row r="7">
      <c r="A7" s="7" t="inlineStr">
        <is>
          <t>Average MAU (mid-year)</t>
        </is>
      </c>
      <c r="B7" s="10">
        <f>ROUND((0+B6)/2,0)</f>
        <v/>
      </c>
      <c r="C7" s="10">
        <f>ROUND((B6+C6)/2,0)</f>
        <v/>
      </c>
      <c r="D7" s="10">
        <f>ROUND((C6+D6)/2,0)</f>
        <v/>
      </c>
      <c r="E7" s="10">
        <f>ROUND((D6+E6)/2,0)</f>
        <v/>
      </c>
      <c r="F7" s="10">
        <f>ROUND((E6+F6)/2,0)</f>
        <v/>
      </c>
      <c r="H7" s="2" t="inlineStr">
        <is>
          <t>Avg of BoY and EoY for annualized calculations.</t>
        </is>
      </c>
    </row>
    <row r="8">
      <c r="A8" s="7" t="inlineStr">
        <is>
          <t>Avg viewing hours per MAU per month</t>
        </is>
      </c>
      <c r="B8" s="23" t="n">
        <v>4</v>
      </c>
      <c r="C8" s="23" t="n">
        <v>5</v>
      </c>
      <c r="D8" s="23" t="n">
        <v>5.5</v>
      </c>
      <c r="E8" s="23" t="n">
        <v>6</v>
      </c>
      <c r="F8" s="23" t="n">
        <v>6.5</v>
      </c>
      <c r="H8" s="2" t="inlineStr">
        <is>
          <t>AVOD users watch less than SVOD (~7-10h). Grows with content depth.</t>
        </is>
      </c>
    </row>
    <row r="9">
      <c r="A9" s="7" t="inlineStr">
        <is>
          <t>Total annual viewing hours</t>
        </is>
      </c>
      <c r="B9" s="10">
        <f>ROUND(B7*B8*12,0)</f>
        <v/>
      </c>
      <c r="C9" s="10">
        <f>ROUND(C7*C8*12,0)</f>
        <v/>
      </c>
      <c r="D9" s="10">
        <f>ROUND(D7*D8*12,0)</f>
        <v/>
      </c>
      <c r="E9" s="10">
        <f>ROUND(E7*E8*12,0)</f>
        <v/>
      </c>
      <c r="F9" s="10">
        <f>ROUND(F7*F8*12,0)</f>
        <v/>
      </c>
      <c r="H9" s="2" t="inlineStr">
        <is>
          <t>avg_MAU × hrs/MAU/mo × 12.</t>
        </is>
      </c>
    </row>
    <row r="10">
      <c r="A10" s="7" t="inlineStr">
        <is>
          <t>Monthly MAU churn / attrition</t>
        </is>
      </c>
      <c r="B10" s="11" t="n">
        <v>0.15</v>
      </c>
      <c r="C10" s="11" t="n">
        <v>0.12</v>
      </c>
      <c r="D10" s="11" t="n">
        <v>0.1</v>
      </c>
      <c r="E10" s="11" t="n">
        <v>0.09</v>
      </c>
      <c r="F10" s="11" t="n">
        <v>0.08</v>
      </c>
      <c r="H10" s="2" t="inlineStr">
        <is>
          <t>Free users churn higher than paid. Decreases with content investment.</t>
        </is>
      </c>
    </row>
    <row r="11">
      <c r="A11" s="7" t="inlineStr">
        <is>
          <t>Annualized MAU churn</t>
        </is>
      </c>
      <c r="B11" s="12">
        <f>1-(1-B10)^12</f>
        <v/>
      </c>
      <c r="C11" s="12">
        <f>1-(1-C10)^12</f>
        <v/>
      </c>
      <c r="D11" s="12">
        <f>1-(1-D10)^12</f>
        <v/>
      </c>
      <c r="E11" s="12">
        <f>1-(1-E10)^12</f>
        <v/>
      </c>
      <c r="F11" s="12">
        <f>1-(1-F10)^12</f>
        <v/>
      </c>
      <c r="H11" s="2" t="inlineStr">
        <is>
          <t>1 - (1 - monthly)^12. Proper compounding.</t>
        </is>
      </c>
    </row>
    <row r="13">
      <c r="A13" s="3" t="inlineStr">
        <is>
          <t>2 — AD INVENTORY</t>
        </is>
      </c>
      <c r="B13" s="4" t="n"/>
      <c r="C13" s="4" t="n"/>
      <c r="D13" s="4" t="n"/>
      <c r="E13" s="4" t="n"/>
      <c r="F13" s="4" t="n"/>
      <c r="H13" s="4" t="n"/>
    </row>
    <row r="14">
      <c r="A14" s="5" t="inlineStr">
        <is>
          <t>Metric</t>
        </is>
      </c>
      <c r="B14" s="5" t="inlineStr">
        <is>
          <t>Year 1</t>
        </is>
      </c>
      <c r="C14" s="5" t="inlineStr">
        <is>
          <t>Year 2</t>
        </is>
      </c>
      <c r="D14" s="5" t="inlineStr">
        <is>
          <t>Year 3</t>
        </is>
      </c>
      <c r="E14" s="5" t="inlineStr">
        <is>
          <t>Year 4</t>
        </is>
      </c>
      <c r="F14" s="5" t="inlineStr">
        <is>
          <t>Year 5</t>
        </is>
      </c>
      <c r="H14" s="6" t="inlineStr">
        <is>
          <t>Notes</t>
        </is>
      </c>
    </row>
    <row r="15">
      <c r="A15" s="7" t="inlineStr">
        <is>
          <t>Ad slots per viewing hour</t>
        </is>
      </c>
      <c r="B15" s="24" t="n">
        <v>6</v>
      </c>
      <c r="C15" s="24" t="n">
        <v>6</v>
      </c>
      <c r="D15" s="24" t="n">
        <v>7</v>
      </c>
      <c r="E15" s="24" t="n">
        <v>7</v>
      </c>
      <c r="F15" s="24" t="n">
        <v>8</v>
      </c>
      <c r="H15" s="2" t="inlineStr">
        <is>
          <t>Pre-roll + mid-roll. Increase cautiously; user tolerance ~8 max.</t>
        </is>
      </c>
    </row>
    <row r="16">
      <c r="A16" s="7" t="inlineStr">
        <is>
          <t>Avg ad slot duration (seconds)</t>
        </is>
      </c>
      <c r="B16" s="24" t="n">
        <v>20</v>
      </c>
      <c r="C16" s="24" t="n">
        <v>20</v>
      </c>
      <c r="D16" s="24" t="n">
        <v>22</v>
      </c>
      <c r="E16" s="24" t="n">
        <v>22</v>
      </c>
      <c r="F16" s="24" t="n">
        <v>25</v>
      </c>
      <c r="H16" s="2" t="inlineStr">
        <is>
          <t>Mix of 15s and 30s units. Longer slots = higher CPM potential.</t>
        </is>
      </c>
    </row>
    <row r="17">
      <c r="A17" s="7" t="inlineStr">
        <is>
          <t>Total annual ad impressions</t>
        </is>
      </c>
      <c r="B17" s="10">
        <f>ROUND(B9*B15,0)</f>
        <v/>
      </c>
      <c r="C17" s="10">
        <f>ROUND(C9*C15,0)</f>
        <v/>
      </c>
      <c r="D17" s="10">
        <f>ROUND(D9*D15,0)</f>
        <v/>
      </c>
      <c r="E17" s="10">
        <f>ROUND(E9*E15,0)</f>
        <v/>
      </c>
      <c r="F17" s="10">
        <f>ROUND(F9*F15,0)</f>
        <v/>
      </c>
      <c r="H17" s="2" t="inlineStr">
        <is>
          <t>viewing_hours × slots_per_hour. Raw inventory before fill rate.</t>
        </is>
      </c>
    </row>
    <row r="18">
      <c r="A18" s="7" t="inlineStr">
        <is>
          <t>Blended fill rate</t>
        </is>
      </c>
      <c r="B18" s="12">
        <f>MIN(0.85,('Platform Config'!B30*'Platform Config'!B19+'Platform Config'!C30*'Platform Config'!B20+'Platform Config'!D30*'Platform Config'!B21))</f>
        <v/>
      </c>
      <c r="C18" s="12">
        <f>MIN(0.85,('Platform Config'!B30*'Platform Config'!C19+'Platform Config'!C30*'Platform Config'!C20+'Platform Config'!D30*'Platform Config'!C21)+1*0.05)</f>
        <v/>
      </c>
      <c r="D18" s="12">
        <f>MIN(0.85,('Platform Config'!B30*'Platform Config'!D19+'Platform Config'!C30*'Platform Config'!D20+'Platform Config'!D30*'Platform Config'!D21)+2*0.05)</f>
        <v/>
      </c>
      <c r="E18" s="12">
        <f>MIN(0.85,('Platform Config'!B30*'Platform Config'!E19+'Platform Config'!C30*'Platform Config'!E20+'Platform Config'!D30*'Platform Config'!E21)+3*0.05)</f>
        <v/>
      </c>
      <c r="F18" s="12">
        <f>MIN(0.85,('Platform Config'!B30*'Platform Config'!F19+'Platform Config'!C30*'Platform Config'!F20+'Platform Config'!D30*'Platform Config'!F21)+4*0.05)</f>
        <v/>
      </c>
      <c r="H18" s="2" t="inlineStr">
        <is>
          <t>Regional weighted fill + 5pp/yr growth. Capped at 85%.</t>
        </is>
      </c>
    </row>
    <row r="19">
      <c r="A19" s="7" t="inlineStr">
        <is>
          <t>Filled impressions (annual)</t>
        </is>
      </c>
      <c r="B19" s="10">
        <f>ROUND(B17*B18,0)</f>
        <v/>
      </c>
      <c r="C19" s="10">
        <f>ROUND(C17*C18,0)</f>
        <v/>
      </c>
      <c r="D19" s="10">
        <f>ROUND(D17*D18,0)</f>
        <v/>
      </c>
      <c r="E19" s="10">
        <f>ROUND(E17*E18,0)</f>
        <v/>
      </c>
      <c r="F19" s="10">
        <f>ROUND(F17*F18,0)</f>
        <v/>
      </c>
      <c r="H19" s="2" t="inlineStr">
        <is>
          <t>Total impressions × fill rate = monetised inventory.</t>
        </is>
      </c>
    </row>
    <row r="21">
      <c r="A21" s="3" t="inlineStr">
        <is>
          <t>3 — AD REVENUE</t>
        </is>
      </c>
      <c r="B21" s="4" t="n"/>
      <c r="C21" s="4" t="n"/>
      <c r="D21" s="4" t="n"/>
      <c r="E21" s="4" t="n"/>
      <c r="F21" s="4" t="n"/>
      <c r="H21" s="4" t="n"/>
    </row>
    <row r="22">
      <c r="A22" s="5" t="inlineStr">
        <is>
          <t>Revenue line</t>
        </is>
      </c>
      <c r="B22" s="5" t="inlineStr">
        <is>
          <t>Year 1</t>
        </is>
      </c>
      <c r="C22" s="5" t="inlineStr">
        <is>
          <t>Year 2</t>
        </is>
      </c>
      <c r="D22" s="5" t="inlineStr">
        <is>
          <t>Year 3</t>
        </is>
      </c>
      <c r="E22" s="5" t="inlineStr">
        <is>
          <t>Year 4</t>
        </is>
      </c>
      <c r="F22" s="5" t="inlineStr">
        <is>
          <t>Year 5</t>
        </is>
      </c>
      <c r="H22" s="6" t="inlineStr">
        <is>
          <t>Basis</t>
        </is>
      </c>
    </row>
    <row r="23">
      <c r="A23" s="7" t="inlineStr">
        <is>
          <t>Direct sold share of filled inventory</t>
        </is>
      </c>
      <c r="B23" s="11" t="n">
        <v>0.1</v>
      </c>
      <c r="C23" s="11" t="n">
        <v>0.15</v>
      </c>
      <c r="D23" s="11" t="n">
        <v>0.2</v>
      </c>
      <c r="E23" s="11" t="n">
        <v>0.25</v>
      </c>
      <c r="F23" s="11" t="n">
        <v>0.3</v>
      </c>
      <c r="H23" s="2" t="inlineStr">
        <is>
          <t>Grows as sales team matures. Rest is programmatic.</t>
        </is>
      </c>
    </row>
    <row r="24">
      <c r="A24" s="7" t="inlineStr">
        <is>
          <t>Blended programmatic CPM</t>
        </is>
      </c>
      <c r="B24" s="18">
        <f>'Platform Config'!B28*'Platform Config'!B19+'Platform Config'!C28*'Platform Config'!B20+'Platform Config'!D28*'Platform Config'!B21</f>
        <v/>
      </c>
      <c r="C24" s="18">
        <f>'Platform Config'!B28*'Platform Config'!C19+'Platform Config'!C28*'Platform Config'!C20+'Platform Config'!D28*'Platform Config'!C21</f>
        <v/>
      </c>
      <c r="D24" s="18">
        <f>'Platform Config'!B28*'Platform Config'!D19+'Platform Config'!C28*'Platform Config'!D20+'Platform Config'!D28*'Platform Config'!D21</f>
        <v/>
      </c>
      <c r="E24" s="18">
        <f>'Platform Config'!B28*'Platform Config'!E19+'Platform Config'!C28*'Platform Config'!E20+'Platform Config'!D28*'Platform Config'!E21</f>
        <v/>
      </c>
      <c r="F24" s="18">
        <f>'Platform Config'!B28*'Platform Config'!F19+'Platform Config'!C28*'Platform Config'!F20+'Platform Config'!D28*'Platform Config'!F21</f>
        <v/>
      </c>
      <c r="H24" s="2" t="inlineStr">
        <is>
          <t>Weighted by territory mix.</t>
        </is>
      </c>
    </row>
    <row r="25">
      <c r="A25" s="7" t="inlineStr">
        <is>
          <t>Blended direct sold CPM</t>
        </is>
      </c>
      <c r="B25" s="18">
        <f>'Platform Config'!B29*'Platform Config'!B19+'Platform Config'!C29*'Platform Config'!B20+'Platform Config'!D29*'Platform Config'!B21</f>
        <v/>
      </c>
      <c r="C25" s="18">
        <f>'Platform Config'!B29*'Platform Config'!C19+'Platform Config'!C29*'Platform Config'!C20+'Platform Config'!D29*'Platform Config'!C21</f>
        <v/>
      </c>
      <c r="D25" s="18">
        <f>'Platform Config'!B29*'Platform Config'!D19+'Platform Config'!C29*'Platform Config'!D20+'Platform Config'!D29*'Platform Config'!D21</f>
        <v/>
      </c>
      <c r="E25" s="18">
        <f>'Platform Config'!B29*'Platform Config'!E19+'Platform Config'!C29*'Platform Config'!E20+'Platform Config'!D29*'Platform Config'!E21</f>
        <v/>
      </c>
      <c r="F25" s="18">
        <f>'Platform Config'!B29*'Platform Config'!F19+'Platform Config'!C29*'Platform Config'!F20+'Platform Config'!D29*'Platform Config'!F21</f>
        <v/>
      </c>
      <c r="H25" s="2" t="inlineStr">
        <is>
          <t>Premium direct deals.</t>
        </is>
      </c>
    </row>
    <row r="26">
      <c r="A26" s="7" t="inlineStr">
        <is>
          <t>Programmatic ad revenue</t>
        </is>
      </c>
      <c r="B26" s="20">
        <f>ROUND(B19*(1-B23)*B24/1000,0)</f>
        <v/>
      </c>
      <c r="C26" s="20">
        <f>ROUND(C19*(1-C23)*C24/1000,0)</f>
        <v/>
      </c>
      <c r="D26" s="20">
        <f>ROUND(D19*(1-D23)*D24/1000,0)</f>
        <v/>
      </c>
      <c r="E26" s="20">
        <f>ROUND(E19*(1-E23)*E24/1000,0)</f>
        <v/>
      </c>
      <c r="F26" s="20">
        <f>ROUND(F19*(1-F23)*F24/1000,0)</f>
        <v/>
      </c>
      <c r="H26" s="2" t="inlineStr">
        <is>
          <t>filled × (1 - direct%) × programmatic CPM / 1000.</t>
        </is>
      </c>
    </row>
    <row r="27">
      <c r="A27" s="7" t="inlineStr">
        <is>
          <t>Direct sold ad revenue</t>
        </is>
      </c>
      <c r="B27" s="20">
        <f>ROUND(B19*B23*B25/1000,0)</f>
        <v/>
      </c>
      <c r="C27" s="20">
        <f>ROUND(C19*C23*C25/1000,0)</f>
        <v/>
      </c>
      <c r="D27" s="20">
        <f>ROUND(D19*D23*D25/1000,0)</f>
        <v/>
      </c>
      <c r="E27" s="20">
        <f>ROUND(E19*E23*E25/1000,0)</f>
        <v/>
      </c>
      <c r="F27" s="20">
        <f>ROUND(F19*F23*F25/1000,0)</f>
        <v/>
      </c>
      <c r="H27" s="2" t="inlineStr">
        <is>
          <t>filled × direct% × direct CPM / 1000.</t>
        </is>
      </c>
    </row>
    <row r="28">
      <c r="A28" s="7" t="inlineStr">
        <is>
          <t>Gross ad revenue</t>
        </is>
      </c>
      <c r="B28" s="20">
        <f>B26+B27</f>
        <v/>
      </c>
      <c r="C28" s="20">
        <f>C26+C27</f>
        <v/>
      </c>
      <c r="D28" s="20">
        <f>D26+D27</f>
        <v/>
      </c>
      <c r="E28" s="20">
        <f>E26+E27</f>
        <v/>
      </c>
      <c r="F28" s="20">
        <f>F26+F27</f>
        <v/>
      </c>
      <c r="H28" s="2" t="inlineStr">
        <is>
          <t>Programmatic + direct sold.</t>
        </is>
      </c>
    </row>
    <row r="29">
      <c r="A29" s="7" t="inlineStr">
        <is>
          <t>SSP / ad network revenue share</t>
        </is>
      </c>
      <c r="B29" s="11" t="n">
        <v>0.25</v>
      </c>
      <c r="C29" s="11" t="n">
        <v>0.22</v>
      </c>
      <c r="D29" s="11" t="n">
        <v>0.2</v>
      </c>
      <c r="E29" s="11" t="n">
        <v>0.18</v>
      </c>
      <c r="F29" s="11" t="n">
        <v>0.17</v>
      </c>
      <c r="H29" s="2" t="inlineStr">
        <is>
          <t>Programmatic SSP take. Decreases with volume &amp; direct deals.</t>
        </is>
      </c>
    </row>
    <row r="30">
      <c r="A30" s="16" t="inlineStr">
        <is>
          <t>Net AVOD revenue (after SSP fees)</t>
        </is>
      </c>
      <c r="B30" s="17">
        <f>ROUND(B28*(1-B29),0)</f>
        <v/>
      </c>
      <c r="C30" s="17">
        <f>ROUND(C28*(1-C29),0)</f>
        <v/>
      </c>
      <c r="D30" s="17">
        <f>ROUND(D28*(1-D29),0)</f>
        <v/>
      </c>
      <c r="E30" s="17">
        <f>ROUND(E28*(1-E29),0)</f>
        <v/>
      </c>
      <c r="F30" s="17">
        <f>ROUND(F28*(1-F29),0)</f>
        <v/>
      </c>
      <c r="H30" s="2" t="inlineStr">
        <is>
          <t>Gross revenue minus SSP/network fees. This is the platform revenue.</t>
        </is>
      </c>
    </row>
    <row r="32">
      <c r="A32" s="3" t="inlineStr">
        <is>
          <t>4 — AVOD-SPECIFIC COSTS</t>
        </is>
      </c>
      <c r="B32" s="4" t="n"/>
      <c r="C32" s="4" t="n"/>
      <c r="D32" s="4" t="n"/>
      <c r="E32" s="4" t="n"/>
      <c r="F32" s="4" t="n"/>
      <c r="H32" s="4" t="n"/>
    </row>
    <row r="33">
      <c r="A33" s="5" t="inlineStr">
        <is>
          <t>Cost line</t>
        </is>
      </c>
      <c r="B33" s="5" t="inlineStr">
        <is>
          <t>Year 1</t>
        </is>
      </c>
      <c r="C33" s="5" t="inlineStr">
        <is>
          <t>Year 2</t>
        </is>
      </c>
      <c r="D33" s="5" t="inlineStr">
        <is>
          <t>Year 3</t>
        </is>
      </c>
      <c r="E33" s="5" t="inlineStr">
        <is>
          <t>Year 4</t>
        </is>
      </c>
      <c r="F33" s="5" t="inlineStr">
        <is>
          <t>Year 5</t>
        </is>
      </c>
      <c r="H33" s="6" t="inlineStr">
        <is>
          <t>Notes</t>
        </is>
      </c>
    </row>
    <row r="34">
      <c r="A34" s="7" t="inlineStr">
        <is>
          <t>Ad server &amp; SSAI ($/mo)</t>
        </is>
      </c>
      <c r="B34" s="15" t="n">
        <v>1500</v>
      </c>
      <c r="C34" s="15" t="n">
        <v>2500</v>
      </c>
      <c r="D34" s="15" t="n">
        <v>4000</v>
      </c>
      <c r="E34" s="15" t="n">
        <v>6000</v>
      </c>
      <c r="F34" s="15" t="n">
        <v>8000</v>
      </c>
      <c r="H34" s="2" t="inlineStr">
        <is>
          <t>Server-side ad insertion. Scales with impressions volume.</t>
        </is>
      </c>
    </row>
    <row r="35">
      <c r="A35" s="7" t="inlineStr">
        <is>
          <t>Brand safety &amp; verification ($/mo)</t>
        </is>
      </c>
      <c r="B35" s="15" t="n">
        <v>500</v>
      </c>
      <c r="C35" s="15" t="n">
        <v>800</v>
      </c>
      <c r="D35" s="15" t="n">
        <v>1200</v>
      </c>
      <c r="E35" s="15" t="n">
        <v>1800</v>
      </c>
      <c r="F35" s="15" t="n">
        <v>2500</v>
      </c>
      <c r="H35" s="2" t="inlineStr">
        <is>
          <t>IAS/DoubleVerify. Critical for horror niche brand concerns.</t>
        </is>
      </c>
    </row>
    <row r="36">
      <c r="A36" s="7" t="inlineStr">
        <is>
          <t>Ad ops headcount cost ($/yr)</t>
        </is>
      </c>
      <c r="B36" s="15" t="n">
        <v>0</v>
      </c>
      <c r="C36" s="15" t="n">
        <v>36000</v>
      </c>
      <c r="D36" s="15" t="n">
        <v>42480</v>
      </c>
      <c r="E36" s="15" t="n">
        <v>42480</v>
      </c>
      <c r="F36" s="15" t="n">
        <v>84960</v>
      </c>
      <c r="H36" s="2" t="inlineStr">
        <is>
          <t>0 FTE Y1 (outsourced), 1 FTE Y2+. Manages yield, demand partners.</t>
        </is>
      </c>
    </row>
    <row r="37">
      <c r="A37" s="7" t="inlineStr">
        <is>
          <t>Content licensing (AVOD window)</t>
        </is>
      </c>
      <c r="B37" s="15" t="n">
        <v>50000</v>
      </c>
      <c r="C37" s="15" t="n">
        <v>80000</v>
      </c>
      <c r="D37" s="15" t="n">
        <v>120000</v>
      </c>
      <c r="E37" s="15" t="n">
        <v>160000</v>
      </c>
      <c r="F37" s="15" t="n">
        <v>200000</v>
      </c>
      <c r="H37" s="2" t="inlineStr">
        <is>
          <t>AVOD rights often cheaper than SVOD. Windowed or ad-tier specific.</t>
        </is>
      </c>
    </row>
    <row r="38">
      <c r="A38" s="16" t="inlineStr">
        <is>
          <t>Total AVOD-specific costs</t>
        </is>
      </c>
      <c r="B38" s="17">
        <f>B34*12+B35*12+B36+B37</f>
        <v/>
      </c>
      <c r="C38" s="17">
        <f>C34*12+C35*12+C36+C37</f>
        <v/>
      </c>
      <c r="D38" s="17">
        <f>D34*12+D35*12+D36+D37</f>
        <v/>
      </c>
      <c r="E38" s="17">
        <f>E34*12+E35*12+E36+E37</f>
        <v/>
      </c>
      <c r="F38" s="17">
        <f>F34*12+F35*12+F36+F37</f>
        <v/>
      </c>
      <c r="H38" s="2" t="inlineStr">
        <is>
          <t>Ad tech + ad ops + content licensing.</t>
        </is>
      </c>
    </row>
    <row r="40">
      <c r="A40" s="3" t="inlineStr">
        <is>
          <t>5 — KEY AVOD METRICS</t>
        </is>
      </c>
      <c r="B40" s="4" t="n"/>
      <c r="C40" s="4" t="n"/>
      <c r="D40" s="4" t="n"/>
      <c r="E40" s="4" t="n"/>
      <c r="F40" s="4" t="n"/>
      <c r="H40" s="4" t="n"/>
    </row>
    <row r="41">
      <c r="A41" s="5" t="inlineStr">
        <is>
          <t>Metric</t>
        </is>
      </c>
      <c r="B41" s="5" t="inlineStr">
        <is>
          <t>Year 1</t>
        </is>
      </c>
      <c r="C41" s="5" t="inlineStr">
        <is>
          <t>Year 2</t>
        </is>
      </c>
      <c r="D41" s="5" t="inlineStr">
        <is>
          <t>Year 3</t>
        </is>
      </c>
      <c r="E41" s="5" t="inlineStr">
        <is>
          <t>Year 4</t>
        </is>
      </c>
      <c r="F41" s="5" t="inlineStr">
        <is>
          <t>Year 5</t>
        </is>
      </c>
      <c r="H41" s="6" t="inlineStr">
        <is>
          <t>Notes</t>
        </is>
      </c>
    </row>
    <row r="42">
      <c r="A42" s="7" t="inlineStr">
        <is>
          <t>Revenue per MAU per month (ARPMAU)</t>
        </is>
      </c>
      <c r="B42" s="18">
        <f>IF(B7&gt;0,B30/12/B7,0)</f>
        <v/>
      </c>
      <c r="C42" s="18">
        <f>IF(C7&gt;0,C30/12/C7,0)</f>
        <v/>
      </c>
      <c r="D42" s="18">
        <f>IF(D7&gt;0,D30/12/D7,0)</f>
        <v/>
      </c>
      <c r="E42" s="18">
        <f>IF(E7&gt;0,E30/12/E7,0)</f>
        <v/>
      </c>
      <c r="F42" s="18">
        <f>IF(F7&gt;0,F30/12/F7,0)</f>
        <v/>
      </c>
      <c r="H42" s="2" t="inlineStr">
        <is>
          <t>Key AVOD efficiency metric. MENA benchmark $0.05-0.30.</t>
        </is>
      </c>
    </row>
    <row r="43">
      <c r="A43" s="7" t="inlineStr">
        <is>
          <t>Effective CPM (net rev / filled impressions × 1000)</t>
        </is>
      </c>
      <c r="B43" s="18">
        <f>IF(B19&gt;0,B30/B19*1000,0)</f>
        <v/>
      </c>
      <c r="C43" s="18">
        <f>IF(C19&gt;0,C30/C19*1000,0)</f>
        <v/>
      </c>
      <c r="D43" s="18">
        <f>IF(D19&gt;0,D30/D19*1000,0)</f>
        <v/>
      </c>
      <c r="E43" s="18">
        <f>IF(E19&gt;0,E30/E19*1000,0)</f>
        <v/>
      </c>
      <c r="F43" s="18">
        <f>IF(F19&gt;0,F30/F19*1000,0)</f>
        <v/>
      </c>
      <c r="H43" s="2" t="inlineStr">
        <is>
          <t>What you actually earn per 1000 filled impressions after SSP fees.</t>
        </is>
      </c>
    </row>
    <row r="44">
      <c r="A44" s="7" t="inlineStr">
        <is>
          <t>Revenue per viewing hour</t>
        </is>
      </c>
      <c r="B44" s="18">
        <f>IF(B9&gt;0,B30/B9,0)</f>
        <v/>
      </c>
      <c r="C44" s="18">
        <f>IF(C9&gt;0,C30/C9,0)</f>
        <v/>
      </c>
      <c r="D44" s="18">
        <f>IF(D9&gt;0,D30/D9,0)</f>
        <v/>
      </c>
      <c r="E44" s="18">
        <f>IF(E9&gt;0,E30/E9,0)</f>
        <v/>
      </c>
      <c r="F44" s="18">
        <f>IF(F9&gt;0,F30/F9,0)</f>
        <v/>
      </c>
      <c r="H44" s="2" t="inlineStr">
        <is>
          <t>Monetisation per hour of content consumed.</t>
        </is>
      </c>
    </row>
    <row r="45">
      <c r="A45" s="7" t="inlineStr">
        <is>
          <t>Ad load (minutes per viewing hour)</t>
        </is>
      </c>
      <c r="B45" s="22">
        <f>ROUND(B15*B16/60,1)</f>
        <v/>
      </c>
      <c r="C45" s="22">
        <f>ROUND(C15*C16/60,1)</f>
        <v/>
      </c>
      <c r="D45" s="22">
        <f>ROUND(D15*D16/60,1)</f>
        <v/>
      </c>
      <c r="E45" s="22">
        <f>ROUND(E15*E16/60,1)</f>
        <v/>
      </c>
      <c r="F45" s="22">
        <f>ROUND(F15*F16/60,1)</f>
        <v/>
      </c>
      <c r="H45" s="2" t="inlineStr">
        <is>
          <t>User experience metric. Keep &lt;4min/hr to limit attrition.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B78A3C"/>
    <outlinePr summaryBelow="1" summaryRight="1"/>
    <pageSetUpPr/>
  </sheetPr>
  <dimension ref="A1:H42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55" customWidth="1" min="8" max="8"/>
  </cols>
  <sheetData>
    <row r="1">
      <c r="A1" s="1" t="inlineStr">
        <is>
          <t>TVOD MODEL — TRANSACTIONAL VIDEO ON DEMAND</t>
        </is>
      </c>
    </row>
    <row r="2">
      <c r="A2" s="2" t="inlineStr">
        <is>
          <t>Per-transaction revenue. Rental + purchase. Yellow = inputs, blue = formulas.</t>
        </is>
      </c>
    </row>
    <row r="4">
      <c r="A4" s="3" t="inlineStr">
        <is>
          <t>1 — USER BASE &amp; TRANSACTION BEHAVIOUR</t>
        </is>
      </c>
      <c r="B4" s="4" t="n"/>
      <c r="C4" s="4" t="n"/>
      <c r="D4" s="4" t="n"/>
      <c r="E4" s="4" t="n"/>
      <c r="F4" s="4" t="n"/>
      <c r="H4" s="4" t="n"/>
    </row>
    <row r="5">
      <c r="A5" s="5" t="inlineStr">
        <is>
          <t>Metric</t>
        </is>
      </c>
      <c r="B5" s="5" t="inlineStr">
        <is>
          <t>Year 1</t>
        </is>
      </c>
      <c r="C5" s="5" t="inlineStr">
        <is>
          <t>Year 2</t>
        </is>
      </c>
      <c r="D5" s="5" t="inlineStr">
        <is>
          <t>Year 3</t>
        </is>
      </c>
      <c r="E5" s="5" t="inlineStr">
        <is>
          <t>Year 4</t>
        </is>
      </c>
      <c r="F5" s="5" t="inlineStr">
        <is>
          <t>Year 5</t>
        </is>
      </c>
      <c r="H5" s="6" t="inlineStr">
        <is>
          <t>Notes</t>
        </is>
      </c>
    </row>
    <row r="6">
      <c r="A6" s="7" t="inlineStr">
        <is>
          <t>Registered users (end of year)</t>
        </is>
      </c>
      <c r="B6" s="9" t="n">
        <v>8000</v>
      </c>
      <c r="C6" s="9" t="n">
        <v>25000</v>
      </c>
      <c r="D6" s="9" t="n">
        <v>55000</v>
      </c>
      <c r="E6" s="9" t="n">
        <v>100000</v>
      </c>
      <c r="F6" s="9" t="n">
        <v>160000</v>
      </c>
      <c r="H6" s="2" t="inlineStr">
        <is>
          <t>Users with accounts. Smaller than AVOD MAU; these are buyers.</t>
        </is>
      </c>
    </row>
    <row r="7">
      <c r="A7" s="7" t="inlineStr">
        <is>
          <t>Average active buyers (mid-year)</t>
        </is>
      </c>
      <c r="B7" s="10">
        <f>ROUND((0+B6)/2,0)</f>
        <v/>
      </c>
      <c r="C7" s="10">
        <f>ROUND((B6+C6)/2,0)</f>
        <v/>
      </c>
      <c r="D7" s="10">
        <f>ROUND((C6+D6)/2,0)</f>
        <v/>
      </c>
      <c r="E7" s="10">
        <f>ROUND((D6+E6)/2,0)</f>
        <v/>
      </c>
      <c r="F7" s="10">
        <f>ROUND((E6+F6)/2,0)</f>
        <v/>
      </c>
      <c r="H7" s="2" t="inlineStr">
        <is>
          <t>Avg of BoY and EoY registered users.</t>
        </is>
      </c>
    </row>
    <row r="8">
      <c r="A8" s="7" t="inlineStr">
        <is>
          <t>Buyer conversion rate (% of registered)</t>
        </is>
      </c>
      <c r="B8" s="11" t="n">
        <v>0.08</v>
      </c>
      <c r="C8" s="11" t="n">
        <v>0.1</v>
      </c>
      <c r="D8" s="11" t="n">
        <v>0.12</v>
      </c>
      <c r="E8" s="11" t="n">
        <v>0.14</v>
      </c>
      <c r="F8" s="11" t="n">
        <v>0.15</v>
      </c>
      <c r="H8" s="2" t="inlineStr">
        <is>
          <t>Share of registered users who transact per month. TVOD benchmark 8-15%.</t>
        </is>
      </c>
    </row>
    <row r="9">
      <c r="A9" s="7" t="inlineStr">
        <is>
          <t>Monthly active buyers</t>
        </is>
      </c>
      <c r="B9" s="10">
        <f>ROUND(B7*B8,0)</f>
        <v/>
      </c>
      <c r="C9" s="10">
        <f>ROUND(C7*C8,0)</f>
        <v/>
      </c>
      <c r="D9" s="10">
        <f>ROUND(D7*D8,0)</f>
        <v/>
      </c>
      <c r="E9" s="10">
        <f>ROUND(E7*E8,0)</f>
        <v/>
      </c>
      <c r="F9" s="10">
        <f>ROUND(F7*F8,0)</f>
        <v/>
      </c>
      <c r="H9" s="2" t="inlineStr">
        <is>
          <t>Users × conversion rate.</t>
        </is>
      </c>
    </row>
    <row r="10">
      <c r="A10" s="7" t="inlineStr">
        <is>
          <t>Transactions per buyer per month</t>
        </is>
      </c>
      <c r="B10" s="23" t="n">
        <v>1.2</v>
      </c>
      <c r="C10" s="23" t="n">
        <v>1.3</v>
      </c>
      <c r="D10" s="23" t="n">
        <v>1.4</v>
      </c>
      <c r="E10" s="23" t="n">
        <v>1.5</v>
      </c>
      <c r="F10" s="23" t="n">
        <v>1.5</v>
      </c>
      <c r="H10" s="2" t="inlineStr">
        <is>
          <t>TVOD benchmark 1.0-1.8. Horror binge behaviour drives repeat.</t>
        </is>
      </c>
    </row>
    <row r="11">
      <c r="A11" s="7" t="inlineStr">
        <is>
          <t>Total annual transactions</t>
        </is>
      </c>
      <c r="B11" s="10">
        <f>ROUND(B9*B10*12,0)</f>
        <v/>
      </c>
      <c r="C11" s="10">
        <f>ROUND(C9*C10*12,0)</f>
        <v/>
      </c>
      <c r="D11" s="10">
        <f>ROUND(D9*D10*12,0)</f>
        <v/>
      </c>
      <c r="E11" s="10">
        <f>ROUND(E9*E10*12,0)</f>
        <v/>
      </c>
      <c r="F11" s="10">
        <f>ROUND(F9*F10*12,0)</f>
        <v/>
      </c>
      <c r="H11" s="2" t="inlineStr">
        <is>
          <t>buyers × txn/buyer/mo × 12.</t>
        </is>
      </c>
    </row>
    <row r="13">
      <c r="A13" s="3" t="inlineStr">
        <is>
          <t>2 — TRANSACTION MIX &amp; PRICING</t>
        </is>
      </c>
      <c r="B13" s="4" t="n"/>
      <c r="C13" s="4" t="n"/>
      <c r="D13" s="4" t="n"/>
      <c r="E13" s="4" t="n"/>
      <c r="F13" s="4" t="n"/>
      <c r="H13" s="4" t="n"/>
    </row>
    <row r="14">
      <c r="A14" s="5" t="inlineStr">
        <is>
          <t>Metric</t>
        </is>
      </c>
      <c r="B14" s="5" t="inlineStr">
        <is>
          <t>Year 1</t>
        </is>
      </c>
      <c r="C14" s="5" t="inlineStr">
        <is>
          <t>Year 2</t>
        </is>
      </c>
      <c r="D14" s="5" t="inlineStr">
        <is>
          <t>Year 3</t>
        </is>
      </c>
      <c r="E14" s="5" t="inlineStr">
        <is>
          <t>Year 4</t>
        </is>
      </c>
      <c r="F14" s="5" t="inlineStr">
        <is>
          <t>Year 5</t>
        </is>
      </c>
      <c r="H14" s="6" t="inlineStr">
        <is>
          <t>Notes</t>
        </is>
      </c>
    </row>
    <row r="15">
      <c r="A15" s="7" t="inlineStr">
        <is>
          <t>Rental share of transactions</t>
        </is>
      </c>
      <c r="B15" s="11" t="n">
        <v>0.75</v>
      </c>
      <c r="C15" s="11" t="n">
        <v>0.7</v>
      </c>
      <c r="D15" s="11" t="n">
        <v>0.65</v>
      </c>
      <c r="E15" s="11" t="n">
        <v>0.6</v>
      </c>
      <c r="F15" s="11" t="n">
        <v>0.55</v>
      </c>
      <c r="H15" s="2" t="inlineStr">
        <is>
          <t>Rentals dominate early. EST grows with catalogue trust.</t>
        </is>
      </c>
    </row>
    <row r="16">
      <c r="A16" s="7" t="inlineStr">
        <is>
          <t>Purchase (EST) share</t>
        </is>
      </c>
      <c r="B16" s="12">
        <f>1-B15</f>
        <v/>
      </c>
      <c r="C16" s="12">
        <f>1-C15</f>
        <v/>
      </c>
      <c r="D16" s="12">
        <f>1-D15</f>
        <v/>
      </c>
      <c r="E16" s="12">
        <f>1-E15</f>
        <v/>
      </c>
      <c r="F16" s="12">
        <f>1-F15</f>
        <v/>
      </c>
      <c r="H16" s="2" t="inlineStr">
        <is>
          <t>Remainder = purchase.</t>
        </is>
      </c>
    </row>
    <row r="17">
      <c r="A17" s="7" t="inlineStr">
        <is>
          <t>Blended rental price (USD)</t>
        </is>
      </c>
      <c r="B17" s="18">
        <f>'Platform Config'!B31*'Platform Config'!B19+'Platform Config'!C31*'Platform Config'!B20+'Platform Config'!D31*'Platform Config'!B21</f>
        <v/>
      </c>
      <c r="C17" s="18">
        <f>'Platform Config'!B31*'Platform Config'!C19+'Platform Config'!C31*'Platform Config'!C20+'Platform Config'!D31*'Platform Config'!C21</f>
        <v/>
      </c>
      <c r="D17" s="18">
        <f>'Platform Config'!B31*'Platform Config'!D19+'Platform Config'!C31*'Platform Config'!D20+'Platform Config'!D31*'Platform Config'!D21</f>
        <v/>
      </c>
      <c r="E17" s="18">
        <f>'Platform Config'!B31*'Platform Config'!E19+'Platform Config'!C31*'Platform Config'!E20+'Platform Config'!D31*'Platform Config'!E21</f>
        <v/>
      </c>
      <c r="F17" s="18">
        <f>'Platform Config'!B31*'Platform Config'!F19+'Platform Config'!C31*'Platform Config'!F20+'Platform Config'!D31*'Platform Config'!F21</f>
        <v/>
      </c>
      <c r="H17" s="2" t="inlineStr">
        <is>
          <t>Weighted by territory mix.</t>
        </is>
      </c>
    </row>
    <row r="18">
      <c r="A18" s="7" t="inlineStr">
        <is>
          <t>Blended purchase price (USD)</t>
        </is>
      </c>
      <c r="B18" s="18">
        <f>'Platform Config'!B32*'Platform Config'!B19+'Platform Config'!C32*'Platform Config'!B20+'Platform Config'!D32*'Platform Config'!B21</f>
        <v/>
      </c>
      <c r="C18" s="18">
        <f>'Platform Config'!B32*'Platform Config'!C19+'Platform Config'!C32*'Platform Config'!C20+'Platform Config'!D32*'Platform Config'!C21</f>
        <v/>
      </c>
      <c r="D18" s="18">
        <f>'Platform Config'!B32*'Platform Config'!D19+'Platform Config'!C32*'Platform Config'!D20+'Platform Config'!D32*'Platform Config'!D21</f>
        <v/>
      </c>
      <c r="E18" s="18">
        <f>'Platform Config'!B32*'Platform Config'!E19+'Platform Config'!C32*'Platform Config'!E20+'Platform Config'!D32*'Platform Config'!E21</f>
        <v/>
      </c>
      <c r="F18" s="18">
        <f>'Platform Config'!B32*'Platform Config'!F19+'Platform Config'!C32*'Platform Config'!F20+'Platform Config'!D32*'Platform Config'!F21</f>
        <v/>
      </c>
      <c r="H18" s="2" t="inlineStr">
        <is>
          <t>Weighted by territory mix.</t>
        </is>
      </c>
    </row>
    <row r="19">
      <c r="A19" s="7" t="inlineStr">
        <is>
          <t>New release share of transactions</t>
        </is>
      </c>
      <c r="B19" s="11" t="n">
        <v>0.3</v>
      </c>
      <c r="C19" s="11" t="n">
        <v>0.25</v>
      </c>
      <c r="D19" s="11" t="n">
        <v>0.2</v>
      </c>
      <c r="E19" s="11" t="n">
        <v>0.18</v>
      </c>
      <c r="F19" s="11" t="n">
        <v>0.15</v>
      </c>
      <c r="H19" s="2" t="inlineStr">
        <is>
          <t>New releases priced at 1.5x library. Declines as catalogue grows.</t>
        </is>
      </c>
    </row>
    <row r="20">
      <c r="A20" s="7" t="inlineStr">
        <is>
          <t>New release price premium</t>
        </is>
      </c>
      <c r="B20" s="25" t="n">
        <v>1.5</v>
      </c>
      <c r="C20" s="25" t="n">
        <v>1.5</v>
      </c>
      <c r="D20" s="25" t="n">
        <v>1.5</v>
      </c>
      <c r="E20" s="25" t="n">
        <v>1.5</v>
      </c>
      <c r="F20" s="25" t="n">
        <v>1.5</v>
      </c>
      <c r="H20" s="2" t="inlineStr">
        <is>
          <t>Multiplier on base rental/purchase price for new titles.</t>
        </is>
      </c>
    </row>
    <row r="22">
      <c r="A22" s="3" t="inlineStr">
        <is>
          <t>3 — TVOD REVENUE</t>
        </is>
      </c>
      <c r="B22" s="4" t="n"/>
      <c r="C22" s="4" t="n"/>
      <c r="D22" s="4" t="n"/>
      <c r="E22" s="4" t="n"/>
      <c r="F22" s="4" t="n"/>
      <c r="H22" s="4" t="n"/>
    </row>
    <row r="23">
      <c r="A23" s="5" t="inlineStr">
        <is>
          <t>Revenue line</t>
        </is>
      </c>
      <c r="B23" s="5" t="inlineStr">
        <is>
          <t>Year 1</t>
        </is>
      </c>
      <c r="C23" s="5" t="inlineStr">
        <is>
          <t>Year 2</t>
        </is>
      </c>
      <c r="D23" s="5" t="inlineStr">
        <is>
          <t>Year 3</t>
        </is>
      </c>
      <c r="E23" s="5" t="inlineStr">
        <is>
          <t>Year 4</t>
        </is>
      </c>
      <c r="F23" s="5" t="inlineStr">
        <is>
          <t>Year 5</t>
        </is>
      </c>
      <c r="H23" s="6" t="inlineStr">
        <is>
          <t>Basis</t>
        </is>
      </c>
    </row>
    <row r="24">
      <c r="A24" s="7" t="inlineStr">
        <is>
          <t>Rental revenue (gross)</t>
        </is>
      </c>
      <c r="B24" s="20">
        <f>ROUND(B11*B15*B17*((1-B19)+B19*B20),0)</f>
        <v/>
      </c>
      <c r="C24" s="20">
        <f>ROUND(C11*C15*C17*((1-C19)+C19*C20),0)</f>
        <v/>
      </c>
      <c r="D24" s="20">
        <f>ROUND(D11*D15*D17*((1-D19)+D19*D20),0)</f>
        <v/>
      </c>
      <c r="E24" s="20">
        <f>ROUND(E11*E15*E17*((1-E19)+E19*E20),0)</f>
        <v/>
      </c>
      <c r="F24" s="20">
        <f>ROUND(F11*F15*F17*((1-F19)+F19*F20),0)</f>
        <v/>
      </c>
      <c r="H24" s="2" t="inlineStr">
        <is>
          <t>txn × rental% × blended_price (library + new release premium).</t>
        </is>
      </c>
    </row>
    <row r="25">
      <c r="A25" s="7" t="inlineStr">
        <is>
          <t>Purchase (EST) revenue (gross)</t>
        </is>
      </c>
      <c r="B25" s="20">
        <f>ROUND(B11*B16*B18*((1-B19)+B19*B20),0)</f>
        <v/>
      </c>
      <c r="C25" s="20">
        <f>ROUND(C11*C16*C18*((1-C19)+C19*C20),0)</f>
        <v/>
      </c>
      <c r="D25" s="20">
        <f>ROUND(D11*D16*D18*((1-D19)+D19*D20),0)</f>
        <v/>
      </c>
      <c r="E25" s="20">
        <f>ROUND(E11*E16*E18*((1-E19)+E19*E20),0)</f>
        <v/>
      </c>
      <c r="F25" s="20">
        <f>ROUND(F11*F16*F18*((1-F19)+F19*F20),0)</f>
        <v/>
      </c>
      <c r="H25" s="2" t="inlineStr">
        <is>
          <t>txn × purchase% × blended_price (library + new release premium).</t>
        </is>
      </c>
    </row>
    <row r="26">
      <c r="A26" s="7" t="inlineStr">
        <is>
          <t>Gross TVOD revenue</t>
        </is>
      </c>
      <c r="B26" s="20">
        <f>B24+B25</f>
        <v/>
      </c>
      <c r="C26" s="20">
        <f>C24+C25</f>
        <v/>
      </c>
      <c r="D26" s="20">
        <f>D24+D25</f>
        <v/>
      </c>
      <c r="E26" s="20">
        <f>E24+E25</f>
        <v/>
      </c>
      <c r="F26" s="20">
        <f>F24+F25</f>
        <v/>
      </c>
      <c r="H26" s="2" t="inlineStr">
        <is>
          <t>Rental + purchase.</t>
        </is>
      </c>
    </row>
    <row r="27">
      <c r="A27" s="7" t="inlineStr">
        <is>
          <t>Content owner revenue share</t>
        </is>
      </c>
      <c r="B27" s="11" t="n">
        <v>0.5</v>
      </c>
      <c r="C27" s="11" t="n">
        <v>0.5</v>
      </c>
      <c r="D27" s="11" t="n">
        <v>0.5</v>
      </c>
      <c r="E27" s="11" t="n">
        <v>0.5</v>
      </c>
      <c r="F27" s="11" t="n">
        <v>0.5</v>
      </c>
      <c r="H27" s="2" t="inlineStr">
        <is>
          <t>Rights holders take 50% of gross. Standard TVOD split.</t>
        </is>
      </c>
    </row>
    <row r="28">
      <c r="A28" s="7" t="inlineStr">
        <is>
          <t>Payment processing fee</t>
        </is>
      </c>
      <c r="B28" s="11" t="n">
        <v>0.035</v>
      </c>
      <c r="C28" s="11" t="n">
        <v>0.035</v>
      </c>
      <c r="D28" s="11" t="n">
        <v>0.03</v>
      </c>
      <c r="E28" s="11" t="n">
        <v>0.03</v>
      </c>
      <c r="F28" s="11" t="n">
        <v>0.025</v>
      </c>
      <c r="H28" s="2" t="inlineStr">
        <is>
          <t>Stripe/gateway fees. Volume discounts over time.</t>
        </is>
      </c>
    </row>
    <row r="29">
      <c r="A29" s="16" t="inlineStr">
        <is>
          <t>Net TVOD revenue (platform share)</t>
        </is>
      </c>
      <c r="B29" s="17">
        <f>ROUND(B26*(1-B27)*(1-B28),0)</f>
        <v/>
      </c>
      <c r="C29" s="17">
        <f>ROUND(C26*(1-C27)*(1-C28),0)</f>
        <v/>
      </c>
      <c r="D29" s="17">
        <f>ROUND(D26*(1-D27)*(1-D28),0)</f>
        <v/>
      </c>
      <c r="E29" s="17">
        <f>ROUND(E26*(1-E27)*(1-E28),0)</f>
        <v/>
      </c>
      <c r="F29" s="17">
        <f>ROUND(F26*(1-F27)*(1-F28),0)</f>
        <v/>
      </c>
      <c r="H29" s="2" t="inlineStr">
        <is>
          <t>Gross × (1 - rights share) × (1 - payment fees).</t>
        </is>
      </c>
    </row>
    <row r="31">
      <c r="A31" s="3" t="inlineStr">
        <is>
          <t>4 — TVOD-SPECIFIC COSTS</t>
        </is>
      </c>
      <c r="B31" s="4" t="n"/>
      <c r="C31" s="4" t="n"/>
      <c r="D31" s="4" t="n"/>
      <c r="E31" s="4" t="n"/>
      <c r="F31" s="4" t="n"/>
      <c r="H31" s="4" t="n"/>
    </row>
    <row r="32">
      <c r="A32" s="5" t="inlineStr">
        <is>
          <t>Cost line</t>
        </is>
      </c>
      <c r="B32" s="5" t="inlineStr">
        <is>
          <t>Year 1</t>
        </is>
      </c>
      <c r="C32" s="5" t="inlineStr">
        <is>
          <t>Year 2</t>
        </is>
      </c>
      <c r="D32" s="5" t="inlineStr">
        <is>
          <t>Year 3</t>
        </is>
      </c>
      <c r="E32" s="5" t="inlineStr">
        <is>
          <t>Year 4</t>
        </is>
      </c>
      <c r="F32" s="5" t="inlineStr">
        <is>
          <t>Year 5</t>
        </is>
      </c>
      <c r="H32" s="6" t="inlineStr">
        <is>
          <t>Notes</t>
        </is>
      </c>
    </row>
    <row r="33">
      <c r="A33" s="7" t="inlineStr">
        <is>
          <t>Storefront / merchandising UI ($/mo)</t>
        </is>
      </c>
      <c r="B33" s="15" t="n">
        <v>800</v>
      </c>
      <c r="C33" s="15" t="n">
        <v>1200</v>
      </c>
      <c r="D33" s="15" t="n">
        <v>1800</v>
      </c>
      <c r="E33" s="15" t="n">
        <v>2500</v>
      </c>
      <c r="F33" s="15" t="n">
        <v>3000</v>
      </c>
      <c r="H33" s="2" t="inlineStr">
        <is>
          <t>Recommendation engine, browse/search, purchase UX.</t>
        </is>
      </c>
    </row>
    <row r="34">
      <c r="A34" s="7" t="inlineStr">
        <is>
          <t>Transaction support / disputes ($/mo)</t>
        </is>
      </c>
      <c r="B34" s="15" t="n">
        <v>300</v>
      </c>
      <c r="C34" s="15" t="n">
        <v>600</v>
      </c>
      <c r="D34" s="15" t="n">
        <v>1000</v>
      </c>
      <c r="E34" s="15" t="n">
        <v>1500</v>
      </c>
      <c r="F34" s="15" t="n">
        <v>2000</v>
      </c>
      <c r="H34" s="2" t="inlineStr">
        <is>
          <t>Refunds, chargebacks, customer support for purchases.</t>
        </is>
      </c>
    </row>
    <row r="35">
      <c r="A35" s="7" t="inlineStr">
        <is>
          <t>TVOD window licensing (annual)</t>
        </is>
      </c>
      <c r="B35" s="15" t="n">
        <v>30000</v>
      </c>
      <c r="C35" s="15" t="n">
        <v>50000</v>
      </c>
      <c r="D35" s="15" t="n">
        <v>75000</v>
      </c>
      <c r="E35" s="15" t="n">
        <v>100000</v>
      </c>
      <c r="F35" s="15" t="n">
        <v>130000</v>
      </c>
      <c r="H35" s="2" t="inlineStr">
        <is>
          <t>Specific TVOD/EST window rights. Often bundled with SVOD deals.</t>
        </is>
      </c>
    </row>
    <row r="36">
      <c r="A36" s="16" t="inlineStr">
        <is>
          <t>Total TVOD-specific costs</t>
        </is>
      </c>
      <c r="B36" s="17">
        <f>B33*12+B34*12+B35</f>
        <v/>
      </c>
      <c r="C36" s="17">
        <f>C33*12+C34*12+C35</f>
        <v/>
      </c>
      <c r="D36" s="17">
        <f>D33*12+D34*12+D35</f>
        <v/>
      </c>
      <c r="E36" s="17">
        <f>E33*12+E34*12+E35</f>
        <v/>
      </c>
      <c r="F36" s="17">
        <f>F33*12+F34*12+F35</f>
        <v/>
      </c>
      <c r="H36" s="2" t="inlineStr">
        <is>
          <t>Storefront + transaction ops + TVOD content licensing.</t>
        </is>
      </c>
    </row>
    <row r="38">
      <c r="A38" s="3" t="inlineStr">
        <is>
          <t>5 — KEY TVOD METRICS</t>
        </is>
      </c>
      <c r="B38" s="4" t="n"/>
      <c r="C38" s="4" t="n"/>
      <c r="D38" s="4" t="n"/>
      <c r="E38" s="4" t="n"/>
      <c r="F38" s="4" t="n"/>
      <c r="H38" s="4" t="n"/>
    </row>
    <row r="39">
      <c r="A39" s="5" t="inlineStr">
        <is>
          <t>Metric</t>
        </is>
      </c>
      <c r="B39" s="5" t="inlineStr">
        <is>
          <t>Year 1</t>
        </is>
      </c>
      <c r="C39" s="5" t="inlineStr">
        <is>
          <t>Year 2</t>
        </is>
      </c>
      <c r="D39" s="5" t="inlineStr">
        <is>
          <t>Year 3</t>
        </is>
      </c>
      <c r="E39" s="5" t="inlineStr">
        <is>
          <t>Year 4</t>
        </is>
      </c>
      <c r="F39" s="5" t="inlineStr">
        <is>
          <t>Year 5</t>
        </is>
      </c>
      <c r="H39" s="6" t="inlineStr">
        <is>
          <t>Notes</t>
        </is>
      </c>
    </row>
    <row r="40">
      <c r="A40" s="7" t="inlineStr">
        <is>
          <t>Avg revenue per transaction (net)</t>
        </is>
      </c>
      <c r="B40" s="18">
        <f>IF(B11&gt;0,B29/B11,0)</f>
        <v/>
      </c>
      <c r="C40" s="18">
        <f>IF(C11&gt;0,C29/C11,0)</f>
        <v/>
      </c>
      <c r="D40" s="18">
        <f>IF(D11&gt;0,D29/D11,0)</f>
        <v/>
      </c>
      <c r="E40" s="18">
        <f>IF(E11&gt;0,E29/E11,0)</f>
        <v/>
      </c>
      <c r="F40" s="18">
        <f>IF(F11&gt;0,F29/F11,0)</f>
        <v/>
      </c>
      <c r="H40" s="2" t="inlineStr">
        <is>
          <t>Net platform revenue per transaction after all deductions.</t>
        </is>
      </c>
    </row>
    <row r="41">
      <c r="A41" s="7" t="inlineStr">
        <is>
          <t>Revenue per registered user (annual)</t>
        </is>
      </c>
      <c r="B41" s="18">
        <f>IF(B7&gt;0,B29/B7,0)</f>
        <v/>
      </c>
      <c r="C41" s="18">
        <f>IF(C7&gt;0,C29/C7,0)</f>
        <v/>
      </c>
      <c r="D41" s="18">
        <f>IF(D7&gt;0,D29/D7,0)</f>
        <v/>
      </c>
      <c r="E41" s="18">
        <f>IF(E7&gt;0,E29/E7,0)</f>
        <v/>
      </c>
      <c r="F41" s="18">
        <f>IF(F7&gt;0,F29/F7,0)</f>
        <v/>
      </c>
      <c r="H41" s="2" t="inlineStr">
        <is>
          <t>Net revenue / avg users. Measures user monetisation.</t>
        </is>
      </c>
    </row>
    <row r="42">
      <c r="A42" s="7" t="inlineStr">
        <is>
          <t>Gross-to-net margin</t>
        </is>
      </c>
      <c r="B42" s="12">
        <f>IF(B26&gt;0,B29/B26,0)</f>
        <v/>
      </c>
      <c r="C42" s="12">
        <f>IF(C26&gt;0,C29/C26,0)</f>
        <v/>
      </c>
      <c r="D42" s="12">
        <f>IF(D26&gt;0,D29/D26,0)</f>
        <v/>
      </c>
      <c r="E42" s="12">
        <f>IF(E26&gt;0,E29/E26,0)</f>
        <v/>
      </c>
      <c r="F42" s="12">
        <f>IF(F26&gt;0,F29/F26,0)</f>
        <v/>
      </c>
      <c r="H42" s="2" t="inlineStr">
        <is>
          <t>What % of gross you keep after rights share + payment fees.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B78A3C"/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55" customWidth="1" min="8" max="8"/>
  </cols>
  <sheetData>
    <row r="1">
      <c r="A1" s="1" t="inlineStr">
        <is>
          <t>CONSOLIDATED P&amp;L — MODEL COMPARISON &amp; DECISION FRAMEWORK</t>
        </is>
      </c>
    </row>
    <row r="2">
      <c r="A2" s="2" t="inlineStr">
        <is>
          <t>All three models side by side. Shared opex allocated by revenue weight. CULTSCALE fees applied.</t>
        </is>
      </c>
    </row>
    <row r="4">
      <c r="A4" s="3" t="inlineStr">
        <is>
          <t>1 — REVENUE BY MODEL</t>
        </is>
      </c>
      <c r="B4" s="4" t="n"/>
      <c r="C4" s="4" t="n"/>
      <c r="D4" s="4" t="n"/>
      <c r="E4" s="4" t="n"/>
      <c r="F4" s="4" t="n"/>
      <c r="H4" s="4" t="n"/>
    </row>
    <row r="5">
      <c r="A5" s="5" t="inlineStr">
        <is>
          <t>Revenue</t>
        </is>
      </c>
      <c r="B5" s="5" t="inlineStr">
        <is>
          <t>Year 1</t>
        </is>
      </c>
      <c r="C5" s="5" t="inlineStr">
        <is>
          <t>Year 2</t>
        </is>
      </c>
      <c r="D5" s="5" t="inlineStr">
        <is>
          <t>Year 3</t>
        </is>
      </c>
      <c r="E5" s="5" t="inlineStr">
        <is>
          <t>Year 4</t>
        </is>
      </c>
      <c r="F5" s="5" t="inlineStr">
        <is>
          <t>Year 5</t>
        </is>
      </c>
      <c r="H5" s="6" t="inlineStr">
        <is>
          <t>Notes</t>
        </is>
      </c>
    </row>
    <row r="6">
      <c r="A6" s="7" t="inlineStr">
        <is>
          <t>SVOD revenue</t>
        </is>
      </c>
      <c r="B6" s="20">
        <f>'SVOD Model'!B26</f>
        <v/>
      </c>
      <c r="C6" s="20">
        <f>'SVOD Model'!C26</f>
        <v/>
      </c>
      <c r="D6" s="20">
        <f>'SVOD Model'!D26</f>
        <v/>
      </c>
      <c r="E6" s="20">
        <f>'SVOD Model'!E26</f>
        <v/>
      </c>
      <c r="F6" s="20">
        <f>'SVOD Model'!F26</f>
        <v/>
      </c>
      <c r="H6" s="2" t="inlineStr">
        <is>
          <t>D2C + B2B subscription revenue.</t>
        </is>
      </c>
    </row>
    <row r="7">
      <c r="A7" s="7" t="inlineStr">
        <is>
          <t>AVOD revenue</t>
        </is>
      </c>
      <c r="B7" s="20">
        <f>'AVOD Model'!B30</f>
        <v/>
      </c>
      <c r="C7" s="20">
        <f>'AVOD Model'!C30</f>
        <v/>
      </c>
      <c r="D7" s="20">
        <f>'AVOD Model'!D30</f>
        <v/>
      </c>
      <c r="E7" s="20">
        <f>'AVOD Model'!E30</f>
        <v/>
      </c>
      <c r="F7" s="20">
        <f>'AVOD Model'!F30</f>
        <v/>
      </c>
      <c r="H7" s="2" t="inlineStr">
        <is>
          <t>Net ad revenue after SSP fees.</t>
        </is>
      </c>
    </row>
    <row r="8">
      <c r="A8" s="7" t="inlineStr">
        <is>
          <t>TVOD revenue</t>
        </is>
      </c>
      <c r="B8" s="20">
        <f>'TVOD Model'!B29</f>
        <v/>
      </c>
      <c r="C8" s="20">
        <f>'TVOD Model'!C29</f>
        <v/>
      </c>
      <c r="D8" s="20">
        <f>'TVOD Model'!D29</f>
        <v/>
      </c>
      <c r="E8" s="20">
        <f>'TVOD Model'!E29</f>
        <v/>
      </c>
      <c r="F8" s="20">
        <f>'TVOD Model'!F29</f>
        <v/>
      </c>
      <c r="H8" s="2" t="inlineStr">
        <is>
          <t>Net platform revenue after rights share + payment fees.</t>
        </is>
      </c>
    </row>
    <row r="9">
      <c r="A9" s="16" t="inlineStr">
        <is>
          <t>TOTAL REVENUE</t>
        </is>
      </c>
      <c r="B9" s="17">
        <f>B6+B7+B8</f>
        <v/>
      </c>
      <c r="C9" s="17">
        <f>C6+C7+C8</f>
        <v/>
      </c>
      <c r="D9" s="17">
        <f>D6+D7+D8</f>
        <v/>
      </c>
      <c r="E9" s="17">
        <f>E6+E7+E8</f>
        <v/>
      </c>
      <c r="F9" s="17">
        <f>F6+F7+F8</f>
        <v/>
      </c>
      <c r="H9" s="2" t="inlineStr">
        <is>
          <t>Combined revenue across all models.</t>
        </is>
      </c>
    </row>
    <row r="10">
      <c r="A10" s="7" t="inlineStr">
        <is>
          <t xml:space="preserve">  SVOD share</t>
        </is>
      </c>
      <c r="B10" s="12">
        <f>IF(B9&gt;0,B6/B9,0)</f>
        <v/>
      </c>
      <c r="C10" s="12">
        <f>IF(C9&gt;0,C6/C9,0)</f>
        <v/>
      </c>
      <c r="D10" s="12">
        <f>IF(D9&gt;0,D6/D9,0)</f>
        <v/>
      </c>
      <c r="E10" s="12">
        <f>IF(E9&gt;0,E6/E9,0)</f>
        <v/>
      </c>
      <c r="F10" s="12">
        <f>IF(F9&gt;0,F6/F9,0)</f>
        <v/>
      </c>
    </row>
    <row r="11">
      <c r="A11" s="7" t="inlineStr">
        <is>
          <t xml:space="preserve">  AVOD share</t>
        </is>
      </c>
      <c r="B11" s="12">
        <f>IF(B9&gt;0,B7/B9,0)</f>
        <v/>
      </c>
      <c r="C11" s="12">
        <f>IF(C9&gt;0,C7/C9,0)</f>
        <v/>
      </c>
      <c r="D11" s="12">
        <f>IF(D9&gt;0,D7/D9,0)</f>
        <v/>
      </c>
      <c r="E11" s="12">
        <f>IF(E9&gt;0,E7/E9,0)</f>
        <v/>
      </c>
      <c r="F11" s="12">
        <f>IF(F9&gt;0,F7/F9,0)</f>
        <v/>
      </c>
    </row>
    <row r="12">
      <c r="A12" s="7" t="inlineStr">
        <is>
          <t xml:space="preserve">  TVOD share</t>
        </is>
      </c>
      <c r="B12" s="12">
        <f>IF(B9&gt;0,B8/B9,0)</f>
        <v/>
      </c>
      <c r="C12" s="12">
        <f>IF(C9&gt;0,C8/C9,0)</f>
        <v/>
      </c>
      <c r="D12" s="12">
        <f>IF(D9&gt;0,D8/D9,0)</f>
        <v/>
      </c>
      <c r="E12" s="12">
        <f>IF(E9&gt;0,E8/E9,0)</f>
        <v/>
      </c>
      <c r="F12" s="12">
        <f>IF(F9&gt;0,F8/F9,0)</f>
        <v/>
      </c>
    </row>
    <row r="14">
      <c r="A14" s="3" t="inlineStr">
        <is>
          <t>2 — SHARED OPEX (allocated by revenue weight)</t>
        </is>
      </c>
      <c r="B14" s="4" t="n"/>
      <c r="C14" s="4" t="n"/>
      <c r="D14" s="4" t="n"/>
      <c r="E14" s="4" t="n"/>
      <c r="F14" s="4" t="n"/>
      <c r="H14" s="4" t="n"/>
    </row>
    <row r="15">
      <c r="A15" s="5" t="inlineStr">
        <is>
          <t>Cost allocation</t>
        </is>
      </c>
      <c r="B15" s="5" t="inlineStr">
        <is>
          <t>Year 1</t>
        </is>
      </c>
      <c r="C15" s="5" t="inlineStr">
        <is>
          <t>Year 2</t>
        </is>
      </c>
      <c r="D15" s="5" t="inlineStr">
        <is>
          <t>Year 3</t>
        </is>
      </c>
      <c r="E15" s="5" t="inlineStr">
        <is>
          <t>Year 4</t>
        </is>
      </c>
      <c r="F15" s="5" t="inlineStr">
        <is>
          <t>Year 5</t>
        </is>
      </c>
      <c r="H15" s="6" t="inlineStr">
        <is>
          <t>Notes</t>
        </is>
      </c>
    </row>
    <row r="16">
      <c r="A16" s="7" t="inlineStr">
        <is>
          <t>Total shared platform opex</t>
        </is>
      </c>
      <c r="B16" s="20">
        <f>'Platform Config'!B46</f>
        <v/>
      </c>
      <c r="C16" s="20">
        <f>'Platform Config'!C46</f>
        <v/>
      </c>
      <c r="D16" s="20">
        <f>'Platform Config'!D46</f>
        <v/>
      </c>
      <c r="E16" s="20">
        <f>'Platform Config'!E46</f>
        <v/>
      </c>
      <c r="F16" s="20">
        <f>'Platform Config'!F46</f>
        <v/>
      </c>
      <c r="H16" s="2" t="inlineStr">
        <is>
          <t>From Platform Config sheet.</t>
        </is>
      </c>
    </row>
    <row r="17">
      <c r="A17" s="7" t="inlineStr">
        <is>
          <t xml:space="preserve">  Allocated to SVOD</t>
        </is>
      </c>
      <c r="B17" s="20">
        <f>IF(B9&gt;0,ROUND(B16*B6/B9,0),ROUND(B16/3,0))</f>
        <v/>
      </c>
      <c r="C17" s="20">
        <f>IF(C9&gt;0,ROUND(C16*C6/C9,0),ROUND(C16/3,0))</f>
        <v/>
      </c>
      <c r="D17" s="20">
        <f>IF(D9&gt;0,ROUND(D16*D6/D9,0),ROUND(D16/3,0))</f>
        <v/>
      </c>
      <c r="E17" s="20">
        <f>IF(E9&gt;0,ROUND(E16*E6/E9,0),ROUND(E16/3,0))</f>
        <v/>
      </c>
      <c r="F17" s="20">
        <f>IF(F9&gt;0,ROUND(F16*F6/F9,0),ROUND(F16/3,0))</f>
        <v/>
      </c>
      <c r="H17" s="2" t="inlineStr">
        <is>
          <t>Proportional to revenue. Equal split if no revenue.</t>
        </is>
      </c>
    </row>
    <row r="18">
      <c r="A18" s="7" t="inlineStr">
        <is>
          <t xml:space="preserve">  Allocated to AVOD</t>
        </is>
      </c>
      <c r="B18" s="20">
        <f>IF(B9&gt;0,ROUND(B16*B7/B9,0),ROUND(B16/3,0))</f>
        <v/>
      </c>
      <c r="C18" s="20">
        <f>IF(C9&gt;0,ROUND(C16*C7/C9,0),ROUND(C16/3,0))</f>
        <v/>
      </c>
      <c r="D18" s="20">
        <f>IF(D9&gt;0,ROUND(D16*D7/D9,0),ROUND(D16/3,0))</f>
        <v/>
      </c>
      <c r="E18" s="20">
        <f>IF(E9&gt;0,ROUND(E16*E7/E9,0),ROUND(E16/3,0))</f>
        <v/>
      </c>
      <c r="F18" s="20">
        <f>IF(F9&gt;0,ROUND(F16*F7/F9,0),ROUND(F16/3,0))</f>
        <v/>
      </c>
    </row>
    <row r="19">
      <c r="A19" s="7" t="inlineStr">
        <is>
          <t xml:space="preserve">  Allocated to TVOD</t>
        </is>
      </c>
      <c r="B19" s="20">
        <f>IF(B9&gt;0,ROUND(B16*B8/B9,0),ROUND(B16/3,0))</f>
        <v/>
      </c>
      <c r="C19" s="20">
        <f>IF(C9&gt;0,ROUND(C16*C8/C9,0),ROUND(C16/3,0))</f>
        <v/>
      </c>
      <c r="D19" s="20">
        <f>IF(D9&gt;0,ROUND(D16*D8/D9,0),ROUND(D16/3,0))</f>
        <v/>
      </c>
      <c r="E19" s="20">
        <f>IF(E9&gt;0,ROUND(E16*E8/E9,0),ROUND(E16/3,0))</f>
        <v/>
      </c>
      <c r="F19" s="20">
        <f>IF(F9&gt;0,ROUND(F16*F8/F9,0),ROUND(F16/3,0))</f>
        <v/>
      </c>
    </row>
    <row r="21">
      <c r="A21" s="3" t="inlineStr">
        <is>
          <t>3 — MODEL-SPECIFIC COSTS</t>
        </is>
      </c>
      <c r="B21" s="4" t="n"/>
      <c r="C21" s="4" t="n"/>
      <c r="D21" s="4" t="n"/>
      <c r="E21" s="4" t="n"/>
      <c r="F21" s="4" t="n"/>
      <c r="H21" s="4" t="n"/>
    </row>
    <row r="22">
      <c r="A22" s="5" t="inlineStr">
        <is>
          <t>Cost</t>
        </is>
      </c>
      <c r="B22" s="5" t="inlineStr">
        <is>
          <t>Year 1</t>
        </is>
      </c>
      <c r="C22" s="5" t="inlineStr">
        <is>
          <t>Year 2</t>
        </is>
      </c>
      <c r="D22" s="5" t="inlineStr">
        <is>
          <t>Year 3</t>
        </is>
      </c>
      <c r="E22" s="5" t="inlineStr">
        <is>
          <t>Year 4</t>
        </is>
      </c>
      <c r="F22" s="5" t="inlineStr">
        <is>
          <t>Year 5</t>
        </is>
      </c>
      <c r="H22" s="6" t="inlineStr">
        <is>
          <t>Notes</t>
        </is>
      </c>
    </row>
    <row r="23">
      <c r="A23" s="7" t="inlineStr">
        <is>
          <t>SVOD-specific costs</t>
        </is>
      </c>
      <c r="B23" s="20">
        <f>'SVOD Model'!B39</f>
        <v/>
      </c>
      <c r="C23" s="20">
        <f>'SVOD Model'!C39</f>
        <v/>
      </c>
      <c r="D23" s="20">
        <f>'SVOD Model'!D39</f>
        <v/>
      </c>
      <c r="E23" s="20">
        <f>'SVOD Model'!E39</f>
        <v/>
      </c>
      <c r="F23" s="20">
        <f>'SVOD Model'!F39</f>
        <v/>
      </c>
      <c r="H23" s="2" t="inlineStr">
        <is>
          <t>Content licensing / amortisation.</t>
        </is>
      </c>
    </row>
    <row r="24">
      <c r="A24" s="7" t="inlineStr">
        <is>
          <t>AVOD-specific costs</t>
        </is>
      </c>
      <c r="B24" s="20">
        <f>'AVOD Model'!B38</f>
        <v/>
      </c>
      <c r="C24" s="20">
        <f>'AVOD Model'!C38</f>
        <v/>
      </c>
      <c r="D24" s="20">
        <f>'AVOD Model'!D38</f>
        <v/>
      </c>
      <c r="E24" s="20">
        <f>'AVOD Model'!E38</f>
        <v/>
      </c>
      <c r="F24" s="20">
        <f>'AVOD Model'!F38</f>
        <v/>
      </c>
      <c r="H24" s="2" t="inlineStr">
        <is>
          <t>Ad server, brand safety, ad ops, content.</t>
        </is>
      </c>
    </row>
    <row r="25">
      <c r="A25" s="7" t="inlineStr">
        <is>
          <t>TVOD-specific costs</t>
        </is>
      </c>
      <c r="B25" s="20">
        <f>'TVOD Model'!B36</f>
        <v/>
      </c>
      <c r="C25" s="20">
        <f>'TVOD Model'!C36</f>
        <v/>
      </c>
      <c r="D25" s="20">
        <f>'TVOD Model'!D36</f>
        <v/>
      </c>
      <c r="E25" s="20">
        <f>'TVOD Model'!E36</f>
        <v/>
      </c>
      <c r="F25" s="20">
        <f>'TVOD Model'!F36</f>
        <v/>
      </c>
      <c r="H25" s="2" t="inlineStr">
        <is>
          <t>Storefront, transaction support, content.</t>
        </is>
      </c>
    </row>
    <row r="27">
      <c r="A27" s="3" t="inlineStr">
        <is>
          <t>4 — P&amp;L BY MODEL</t>
        </is>
      </c>
      <c r="B27" s="4" t="n"/>
      <c r="C27" s="4" t="n"/>
      <c r="D27" s="4" t="n"/>
      <c r="E27" s="4" t="n"/>
      <c r="F27" s="4" t="n"/>
      <c r="H27" s="4" t="n"/>
    </row>
    <row r="28">
      <c r="A28" s="5" t="inlineStr">
        <is>
          <t>P&amp;L</t>
        </is>
      </c>
      <c r="B28" s="5" t="inlineStr">
        <is>
          <t>Year 1</t>
        </is>
      </c>
      <c r="C28" s="5" t="inlineStr">
        <is>
          <t>Year 2</t>
        </is>
      </c>
      <c r="D28" s="5" t="inlineStr">
        <is>
          <t>Year 3</t>
        </is>
      </c>
      <c r="E28" s="5" t="inlineStr">
        <is>
          <t>Year 4</t>
        </is>
      </c>
      <c r="F28" s="5" t="inlineStr">
        <is>
          <t>Year 5</t>
        </is>
      </c>
      <c r="H28" s="6" t="inlineStr">
        <is>
          <t>Notes</t>
        </is>
      </c>
    </row>
    <row r="29">
      <c r="A29" s="7" t="inlineStr">
        <is>
          <t>SVOD net P&amp;L</t>
        </is>
      </c>
      <c r="B29" s="20">
        <f>B6-B17-B23</f>
        <v/>
      </c>
      <c r="C29" s="20">
        <f>C6-C17-C23</f>
        <v/>
      </c>
      <c r="D29" s="20">
        <f>D6-D17-D23</f>
        <v/>
      </c>
      <c r="E29" s="20">
        <f>E6-E17-E23</f>
        <v/>
      </c>
      <c r="F29" s="20">
        <f>F6-F17-F23</f>
        <v/>
      </c>
      <c r="H29" s="2" t="inlineStr">
        <is>
          <t>Revenue - allocated opex - specific costs.</t>
        </is>
      </c>
    </row>
    <row r="30">
      <c r="A30" s="7" t="inlineStr">
        <is>
          <t>AVOD net P&amp;L</t>
        </is>
      </c>
      <c r="B30" s="20">
        <f>B7-B18-B24</f>
        <v/>
      </c>
      <c r="C30" s="20">
        <f>C7-C18-C24</f>
        <v/>
      </c>
      <c r="D30" s="20">
        <f>D7-D18-D24</f>
        <v/>
      </c>
      <c r="E30" s="20">
        <f>E7-E18-E24</f>
        <v/>
      </c>
      <c r="F30" s="20">
        <f>F7-F18-F24</f>
        <v/>
      </c>
    </row>
    <row r="31">
      <c r="A31" s="7" t="inlineStr">
        <is>
          <t>TVOD net P&amp;L</t>
        </is>
      </c>
      <c r="B31" s="20">
        <f>B8-B19-B25</f>
        <v/>
      </c>
      <c r="C31" s="20">
        <f>C8-C19-C25</f>
        <v/>
      </c>
      <c r="D31" s="20">
        <f>D8-D19-D25</f>
        <v/>
      </c>
      <c r="E31" s="20">
        <f>E8-E19-E25</f>
        <v/>
      </c>
      <c r="F31" s="20">
        <f>F8-F19-F25</f>
        <v/>
      </c>
    </row>
    <row r="32">
      <c r="A32" s="16" t="inlineStr">
        <is>
          <t>TOTAL NET P&amp;L</t>
        </is>
      </c>
      <c r="B32" s="17">
        <f>B29+B30+B31</f>
        <v/>
      </c>
      <c r="C32" s="17">
        <f>C29+C30+C31</f>
        <v/>
      </c>
      <c r="D32" s="17">
        <f>D29+D30+D31</f>
        <v/>
      </c>
      <c r="E32" s="17">
        <f>E29+E30+E31</f>
        <v/>
      </c>
      <c r="F32" s="17">
        <f>F29+F30+F31</f>
        <v/>
      </c>
      <c r="H32" s="2" t="inlineStr">
        <is>
          <t>Combined P&amp;L before CULTSCALE fees.</t>
        </is>
      </c>
    </row>
    <row r="33">
      <c r="A33" s="7" t="inlineStr">
        <is>
          <t>Cumulative net P&amp;L</t>
        </is>
      </c>
      <c r="B33" s="20">
        <f>B32</f>
        <v/>
      </c>
      <c r="C33" s="20">
        <f>B33+C32</f>
        <v/>
      </c>
      <c r="D33" s="20">
        <f>C33+D32</f>
        <v/>
      </c>
      <c r="E33" s="20">
        <f>D33+E32</f>
        <v/>
      </c>
      <c r="F33" s="20">
        <f>E33+F32</f>
        <v/>
      </c>
      <c r="H33" s="2" t="inlineStr">
        <is>
          <t>Running total. Watch for breakeven year.</t>
        </is>
      </c>
    </row>
    <row r="35">
      <c r="A35" s="3" t="inlineStr">
        <is>
          <t>5 — CULTSCALE FEES</t>
        </is>
      </c>
      <c r="B35" s="4" t="n"/>
      <c r="C35" s="4" t="n"/>
      <c r="D35" s="4" t="n"/>
      <c r="E35" s="4" t="n"/>
      <c r="F35" s="4" t="n"/>
      <c r="H35" s="4" t="n"/>
    </row>
    <row r="36">
      <c r="A36" s="5" t="inlineStr">
        <is>
          <t>Fee</t>
        </is>
      </c>
      <c r="B36" s="5" t="inlineStr">
        <is>
          <t>Year 1</t>
        </is>
      </c>
      <c r="C36" s="5" t="inlineStr">
        <is>
          <t>Year 2</t>
        </is>
      </c>
      <c r="D36" s="5" t="inlineStr">
        <is>
          <t>Year 3</t>
        </is>
      </c>
      <c r="E36" s="5" t="inlineStr">
        <is>
          <t>Year 4</t>
        </is>
      </c>
      <c r="F36" s="5" t="inlineStr">
        <is>
          <t>Year 5</t>
        </is>
      </c>
      <c r="H36" s="6" t="inlineStr">
        <is>
          <t>Notes</t>
        </is>
      </c>
    </row>
    <row r="37">
      <c r="A37" s="7" t="inlineStr">
        <is>
          <t>Opex fee (applied to shared + specific)</t>
        </is>
      </c>
      <c r="B37" s="20">
        <f>ROUND((B16+B23+B24+B25)*'Platform Config'!B36,0)</f>
        <v/>
      </c>
      <c r="C37" s="20">
        <f>ROUND((C16+C23+C24+C25)*'Platform Config'!B36,0)</f>
        <v/>
      </c>
      <c r="D37" s="20">
        <f>ROUND((D16+D23+D24+D25)*'Platform Config'!B36,0)</f>
        <v/>
      </c>
      <c r="E37" s="20">
        <f>ROUND((E16+E23+E24+E25)*'Platform Config'!B36,0)</f>
        <v/>
      </c>
      <c r="F37" s="20">
        <f>ROUND((F16+F23+F24+F25)*'Platform Config'!B36,0)</f>
        <v/>
      </c>
      <c r="H37" s="2" t="inlineStr">
        <is>
          <t>15% of all platform opex. Covers operational partnership.</t>
        </is>
      </c>
    </row>
    <row r="38">
      <c r="A38" s="7" t="inlineStr">
        <is>
          <t>Profit participation</t>
        </is>
      </c>
      <c r="B38" s="20">
        <f>ROUND(MAX(0,B32)*'Platform Config'!B37,0)</f>
        <v/>
      </c>
      <c r="C38" s="20">
        <f>ROUND(MAX(0,C32)*'Platform Config'!B37,0)</f>
        <v/>
      </c>
      <c r="D38" s="20">
        <f>ROUND(MAX(0,D32)*'Platform Config'!B37,0)</f>
        <v/>
      </c>
      <c r="E38" s="20">
        <f>ROUND(MAX(0,E32)*'Platform Config'!B37,0)</f>
        <v/>
      </c>
      <c r="F38" s="20">
        <f>ROUND(MAX(0,F32)*'Platform Config'!B37,0)</f>
        <v/>
      </c>
      <c r="H38" s="2" t="inlineStr">
        <is>
          <t>15% of net profit. Zero in loss years.</t>
        </is>
      </c>
    </row>
    <row r="39">
      <c r="A39" s="16" t="inlineStr">
        <is>
          <t>Total CULTSCALE fee</t>
        </is>
      </c>
      <c r="B39" s="17">
        <f>B37+B38</f>
        <v/>
      </c>
      <c r="C39" s="17">
        <f>C37+C38</f>
        <v/>
      </c>
      <c r="D39" s="17">
        <f>D37+D38</f>
        <v/>
      </c>
      <c r="E39" s="17">
        <f>E37+E38</f>
        <v/>
      </c>
      <c r="F39" s="17">
        <f>F37+F38</f>
        <v/>
      </c>
    </row>
    <row r="40">
      <c r="A40" s="7" t="inlineStr">
        <is>
          <t>Platform owner net (after fees)</t>
        </is>
      </c>
      <c r="B40" s="20">
        <f>B32-B39</f>
        <v/>
      </c>
      <c r="C40" s="20">
        <f>C32-C39</f>
        <v/>
      </c>
      <c r="D40" s="20">
        <f>D32-D39</f>
        <v/>
      </c>
      <c r="E40" s="20">
        <f>E32-E39</f>
        <v/>
      </c>
      <c r="F40" s="20">
        <f>F32-F39</f>
        <v/>
      </c>
      <c r="H40" s="2" t="inlineStr">
        <is>
          <t>What the platform owner keeps.</t>
        </is>
      </c>
    </row>
    <row r="41">
      <c r="A41" s="7" t="inlineStr">
        <is>
          <t>Cumulative owner net</t>
        </is>
      </c>
      <c r="B41" s="20">
        <f>B40</f>
        <v/>
      </c>
      <c r="C41" s="20">
        <f>B41+C40</f>
        <v/>
      </c>
      <c r="D41" s="20">
        <f>C41+D40</f>
        <v/>
      </c>
      <c r="E41" s="20">
        <f>D41+E40</f>
        <v/>
      </c>
      <c r="F41" s="20">
        <f>E41+F40</f>
        <v/>
      </c>
      <c r="H41" s="2" t="inlineStr">
        <is>
          <t>5-year cumulative after all fees.</t>
        </is>
      </c>
    </row>
    <row r="43">
      <c r="A43" s="3" t="inlineStr">
        <is>
          <t>6 — MODEL COMPARISON &amp; DECISION METRICS</t>
        </is>
      </c>
      <c r="B43" s="4" t="n"/>
      <c r="C43" s="4" t="n"/>
      <c r="D43" s="4" t="n"/>
      <c r="E43" s="4" t="n"/>
      <c r="F43" s="4" t="n"/>
      <c r="H43" s="4" t="n"/>
    </row>
    <row r="44">
      <c r="A44" s="5" t="inlineStr">
        <is>
          <t>Metric</t>
        </is>
      </c>
      <c r="B44" s="5" t="inlineStr">
        <is>
          <t>SVOD</t>
        </is>
      </c>
      <c r="C44" s="5" t="inlineStr">
        <is>
          <t>AVOD</t>
        </is>
      </c>
      <c r="D44" s="5" t="inlineStr">
        <is>
          <t>TVOD</t>
        </is>
      </c>
      <c r="E44" s="5" t="inlineStr"/>
      <c r="F44" s="5" t="inlineStr"/>
      <c r="H44" s="6" t="inlineStr">
        <is>
          <t>Interpretation</t>
        </is>
      </c>
    </row>
    <row r="45">
      <c r="A45" s="7" t="inlineStr">
        <is>
          <t>5-year total revenue</t>
        </is>
      </c>
      <c r="B45" s="26">
        <f>SUM(B6:F6)</f>
        <v/>
      </c>
      <c r="C45" s="26">
        <f>SUM(B7:F7)</f>
        <v/>
      </c>
      <c r="D45" s="26">
        <f>SUM(B8:F8)</f>
        <v/>
      </c>
      <c r="H45" s="2" t="inlineStr">
        <is>
          <t>Total revenue generated over 5 years.</t>
        </is>
      </c>
    </row>
    <row r="46">
      <c r="A46" s="7" t="inlineStr">
        <is>
          <t>5-year net P&amp;L</t>
        </is>
      </c>
      <c r="B46" s="26">
        <f>SUM(B29:F29)</f>
        <v/>
      </c>
      <c r="C46" s="26">
        <f>SUM(B30:F30)</f>
        <v/>
      </c>
      <c r="D46" s="26">
        <f>SUM(B31:F31)</f>
        <v/>
      </c>
      <c r="H46" s="2" t="inlineStr">
        <is>
          <t>Profit after allocated opex + specific costs.</t>
        </is>
      </c>
    </row>
    <row r="47">
      <c r="A47" s="7" t="inlineStr">
        <is>
          <t>5-year net margin</t>
        </is>
      </c>
      <c r="B47" s="27">
        <f>IF(SUM(B6:F6)&gt;0,SUM(B29:F29)/SUM(B6:F6),0)</f>
        <v/>
      </c>
      <c r="C47" s="27">
        <f>IF(SUM(B7:F7)&gt;0,SUM(B30:F30)/SUM(B7:F7),0)</f>
        <v/>
      </c>
      <c r="D47" s="27">
        <f>IF(SUM(B8:F8)&gt;0,SUM(B31:F31)/SUM(B8:F8),0)</f>
        <v/>
      </c>
      <c r="H47" s="2" t="inlineStr">
        <is>
          <t>P&amp;L / Revenue. Higher = more efficient model.</t>
        </is>
      </c>
    </row>
    <row r="48">
      <c r="A48" s="7" t="inlineStr">
        <is>
          <t>Year of first profit</t>
        </is>
      </c>
      <c r="H48" s="2" t="inlineStr">
        <is>
          <t>Manual assessment: which year does each model turn profitable?</t>
        </is>
      </c>
    </row>
    <row r="49">
      <c r="A49" s="7" t="inlineStr">
        <is>
          <t>Audience reach (Y5)</t>
        </is>
      </c>
      <c r="B49" s="28">
        <f>'SVOD Model'!F6+'SVOD Model'!F19</f>
        <v/>
      </c>
      <c r="C49" s="28">
        <f>'AVOD Model'!F6</f>
        <v/>
      </c>
      <c r="D49" s="28">
        <f>'TVOD Model'!F6</f>
        <v/>
      </c>
      <c r="H49" s="2" t="inlineStr">
        <is>
          <t>Total platform reach. AVOD always wins on audience size.</t>
        </is>
      </c>
    </row>
    <row r="50">
      <c r="A50" s="7" t="inlineStr">
        <is>
          <t>Revenue per user (Y5, annual)</t>
        </is>
      </c>
      <c r="B50" s="29">
        <f>IF(B49&gt;0,F6/B49,0)</f>
        <v/>
      </c>
      <c r="C50" s="29">
        <f>IF(C49&gt;0,F7/C49,0)</f>
        <v/>
      </c>
      <c r="D50" s="29">
        <f>IF(D49&gt;0,F8/D49,0)</f>
        <v/>
      </c>
      <c r="H50" s="2" t="inlineStr">
        <is>
          <t>SVOD highest per-user, AVOD lowest but widest funnel.</t>
        </is>
      </c>
    </row>
    <row r="52">
      <c r="A52" s="3" t="inlineStr">
        <is>
          <t>7 — STRATEGIC CONSIDERATIONS</t>
        </is>
      </c>
      <c r="B52" s="4" t="n"/>
      <c r="C52" s="4" t="n"/>
      <c r="D52" s="4" t="n"/>
      <c r="E52" s="4" t="n"/>
      <c r="F52" s="4" t="n"/>
      <c r="H52" s="4" t="n"/>
    </row>
    <row r="54">
      <c r="A54" s="16" t="inlineStr">
        <is>
          <t>SVOD strengths</t>
        </is>
      </c>
      <c r="B54" s="30" t="inlineStr">
        <is>
          <t>Predictable recurring revenue. Highest per-user value. Direct customer relationship. Content exclusivity drives differentiation.</t>
        </is>
      </c>
    </row>
    <row r="55">
      <c r="A55" s="16" t="inlineStr">
        <is>
          <t>SVOD risks</t>
        </is>
      </c>
      <c r="B55" s="30" t="inlineStr">
        <is>
          <t>Churn is the killer. High CAC in crowded MENA market. Content costs eat margin. Price sensitivity in non-GCC markets.</t>
        </is>
      </c>
    </row>
    <row r="56">
      <c r="A56" s="16" t="inlineStr">
        <is>
          <t>AVOD strengths</t>
        </is>
      </c>
      <c r="B56" s="30" t="inlineStr">
        <is>
          <t>Largest addressable audience. Zero barrier to entry. Scales with content library. Horror niche = strong engagement metrics.</t>
        </is>
      </c>
    </row>
    <row r="57">
      <c r="A57" s="16" t="inlineStr">
        <is>
          <t>AVOD risks</t>
        </is>
      </c>
      <c r="B57" s="30" t="inlineStr">
        <is>
          <t>CPMs volatile. Fill rate takes years to build. Brand safety concerns for horror. SSP fees compress margin. Low per-user value.</t>
        </is>
      </c>
    </row>
    <row r="58">
      <c r="A58" s="16" t="inlineStr">
        <is>
          <t>TVOD strengths</t>
        </is>
      </c>
      <c r="B58" s="30" t="inlineStr">
        <is>
          <t>No recurring commitment required. Captures impulse purchases. Premium new releases. Works alongside SVOD/AVOD.</t>
        </is>
      </c>
    </row>
    <row r="59">
      <c r="A59" s="16" t="inlineStr">
        <is>
          <t>TVOD risks</t>
        </is>
      </c>
      <c r="B59" s="30" t="inlineStr">
        <is>
          <t>Smallest revenue potential. Competes with piracy directly. Rights holder takes 50%+. Transaction friction in MENA (payment methods).</t>
        </is>
      </c>
    </row>
    <row r="60">
      <c r="A60" s="16" t="inlineStr">
        <is>
          <t>Hybrid recommendation</t>
        </is>
      </c>
      <c r="B60" s="30" t="inlineStr">
        <is>
          <t>Consider SVOD core + AVOD free tier (funnel to paid) + TVOD for premium new releases. This is the global trend (Disney+, Peacock, etc.).</t>
        </is>
      </c>
    </row>
  </sheetData>
  <mergeCells count="7">
    <mergeCell ref="B58:H58"/>
    <mergeCell ref="B57:H57"/>
    <mergeCell ref="B56:H56"/>
    <mergeCell ref="B55:H55"/>
    <mergeCell ref="B54:H54"/>
    <mergeCell ref="B59:H59"/>
    <mergeCell ref="B60:H6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2026-02-27T10:33:31Z</dcterms:created>
  <dcterms:modified xmlns:dcterms="http://purl.org/dc/terms/" xmlns:xsi="http://www.w3.org/2001/XMLSchema-instance" xsi:type="dcterms:W3CDTF">2026-02-27T10:33:31Z</dcterms:modified>
</cp:coreProperties>
</file>