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ssumptions" sheetId="1" r:id="rId1"/>
    <sheet name="5-Year P&amp;L" sheetId="2" r:id="rId2"/>
    <sheet name="Opex Rationale" sheetId="3" r:id="rId3"/>
    <sheet name="Territory &amp; Launch" sheetId="4" r:id="rId4"/>
    <sheet name="Distributor Return" sheetId="5" r:id="rId5"/>
  </sheets>
  <calcPr calcId="124519" fullCalcOnLoad="1"/>
</workbook>
</file>

<file path=xl/comments1.xml><?xml version="1.0" encoding="utf-8"?>
<comments xmlns="http://schemas.openxmlformats.org/spreadsheetml/2006/main">
  <authors>
    <author/>
  </authors>
  <commentList>
    <comment ref="B6" authorId="0">
      <text>
        <r>
          <rPr>
            <sz val="8"/>
            <color indexed="81"/>
            <rFont val="Tahoma"/>
            <family val="2"/>
          </rPr>
          <t>SOURCE: GCC D2C streaming TAM 2023: 3.4M subscribers (GSMA MENA Intelligence). Horror genre affinity ~40% of SVOD audience (IMDb genre analytics 2023). SlasherPlay targets 0.3% TAM penetration Y1.
RATIONALE: Conservative bottom-up from territory model (Sheet 4). GCC-first (6 markets Y1), Levant Y2, N.Africa Y3+. Each territory sized independently.
SENSITIVITY: +/-20% changes revenue proportionally. Territory sheet drives these numbers.</t>
        </r>
      </text>
    </comment>
    <comment ref="B7" authorId="0">
      <text>
        <r>
          <rPr>
            <sz val="8"/>
            <color indexed="81"/>
            <rFont val="Tahoma"/>
            <family val="2"/>
          </rPr>
          <t>SOURCE: Shahid VIP $6.99/mo; Netflix MENA Basic $3.99/mo; OSN+ $9.99/mo; StarzPlay $11/mo. Regional SVOD ARPU data from MPA MENA 2023.
RATIONALE: $6.50 Y1 is GCC-weighted (UAE $10.50, KSA $8.50, Egypt $3.50). Declines as lower-ARPU Levant/N.Africa mix grows Y2+.
SENSITIVITY: Each $1 ARPU change = ~$72K revenue impact in Y1 (6K avg subs x $1 x 12). Test this live.</t>
        </r>
      </text>
    </comment>
    <comment ref="B9" authorId="0">
      <text>
        <r>
          <rPr>
            <sz val="8"/>
            <color indexed="81"/>
            <rFont val="Tahoma"/>
            <family val="2"/>
          </rPr>
          <t>SOURCE: Internal pipeline. Telco-activated subs recognised when active on platform, not at contract signing.
RATIONALE: Y1: 0 (deal signed but activation in progress). Y2: 7K from first deal. Scales with partner count.
SENSITIVITY: B2B subs are less predictable than D2C. Revenue includes minimum guarantees so less sensitive.</t>
        </r>
      </text>
    </comment>
    <comment ref="B10" authorId="0">
      <text>
        <r>
          <rPr>
            <sz val="8"/>
            <color indexed="81"/>
            <rFont val="Tahoma"/>
            <family val="2"/>
          </rPr>
          <t>SOURCE: MENA telco SVOD bundles: $1.50-3.00/activated sub/month. stc tv bundles, e&amp; Life bundles (2024 pricing).
RATIONALE: $2.00 is conservative mid-range. Held flat as wholesale rates are contractually fixed per deal.
SENSITIVITY: At $3.00, B2B revenue increases 50%. Negotiate aggressively on minimum guarantees.</t>
        </r>
      </text>
    </comment>
    <comment ref="B15" authorId="0">
      <text>
        <r>
          <rPr>
            <sz val="8"/>
            <color indexed="81"/>
            <rFont val="Tahoma"/>
            <family val="2"/>
          </rPr>
          <t>SOURCE: B2B revenue modeled as direct input because telco deals have unique structures (minimum guarantees, revenue shares, bundled pricing).
RATIONALE: Y1=$138K = 1 deal minimum guarantee before subs activate. Y2+ includes activated sub revenue on top of guarantees.
SENSITIVITY: B2B typically contributes 20-35% of total revenue. Reduce to test D2C-only viability.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15" authorId="0">
      <text>
        <r>
          <rPr>
            <sz val="8"/>
            <color indexed="81"/>
            <rFont val="Tahoma"/>
            <family val="2"/>
          </rPr>
          <t>SOURCE: Cloudflare CDN $0.01/GB for Middle East (2024 pricing); Bunny.net ME zone $0.01/GB; AWS CloudFront ME list $0.085/GB (70-80% discount at 100TB+/mo commitment).
RATIONALE: $0.01 assumes CDN commitment deal (Cloudflare R2 or Bunny). Conservative for volume &gt;100TB/mo.
SENSITIVITY: At $0.02/GB, CDN doubles but remains &lt;5% of total opex. At $0.005 (Cloudflare R2 egress-free), CDN halves.</t>
        </r>
      </text>
    </comment>
    <comment ref="B16" authorId="0">
      <text>
        <r>
          <rPr>
            <sz val="8"/>
            <color indexed="81"/>
            <rFont val="Tahoma"/>
            <family val="2"/>
          </rPr>
          <t>SOURCE: AWS S3 Standard $0.023/GB/mo; Hetzner dedicated $50-100/mo; DigitalOcean Spaces $5/250GB.
RATIONALE: 252 titles x 30GB avg (multi-bitrate ABR ladder) = 7.5TB. S3 ~$175/mo + origin server $200/mo + CDN cache + redundancy. $1,350 allows for growth headroom and multi-region.
SENSITIVITY: +/-$500/mo changes Y1 tech by &lt;2%. Grows 30%/yr with library expansion.</t>
        </r>
      </text>
    </comment>
    <comment ref="B17" authorId="0">
      <text>
        <r>
          <rPr>
            <sz val="8"/>
            <color indexed="81"/>
            <rFont val="Tahoma"/>
            <family val="2"/>
          </rPr>
          <t>SOURCE: Lambda Cloud H100 spot $1.10/hr; Vast.ai GPU $0.50-2/hr; AWS MediaConvert $0.024/min.
RATIONALE: Ongoing transcoding for new format packs, adaptive bitrate re-packaging, thumbnail &amp; preview generation. Not just initial encode.
SENSITIVITY: Scales with library growth at 15%/yr. At 2x, adds ~$22K to Y1 tech.</t>
        </r>
      </text>
    </comment>
    <comment ref="B18" authorId="0">
      <text>
        <r>
          <rPr>
            <sz val="8"/>
            <color indexed="81"/>
            <rFont val="Tahoma"/>
            <family val="2"/>
          </rPr>
          <t>SOURCE: Cloud GPU spot rates (Lambda/Vast.ai). 90min feature = ~3hrs GPU at $1.50/hr spot average.
RATIONALE: Assumes pre-built FFmpeg/AV1 pipeline. Low because encoding server handles heavy lifting; this is incremental cloud compute per new title.
SENSITIVITY: At $25/title (non-spot pricing), adds $6K to Y1. Minimal impact on total.</t>
        </r>
      </text>
    </comment>
    <comment ref="B19" authorId="0">
      <text>
        <r>
          <rPr>
            <sz val="8"/>
            <color indexed="81"/>
            <rFont val="Tahoma"/>
            <family val="2"/>
          </rPr>
          <t>SOURCE: Muvi.com Enterprise $1,499/mo; Brightcove OTT $6,000-15,000/mo; JW Player Enterprise ~$5K/mo; ViewLift/Vimeo OTT $3-8K/mo.
RATIONALE: Custom-configured OTT stack with iOS/Android/SmartTV/Web apps, DRM, payments, subscriber management. Mid-market pricing for MENA-optimized platform.
SENSITIVITY: Switching platforms post-launch costs $50-100K migration. Lock-in risk.</t>
        </r>
      </text>
    </comment>
    <comment ref="B20" authorId="0">
      <text>
        <r>
          <rPr>
            <sz val="8"/>
            <color indexed="81"/>
            <rFont val="Tahoma"/>
            <family val="2"/>
          </rPr>
          <t>SOURCE: Industry norm 10-20% annual SaaS cost growth at scale.
RATIONALE: New device platforms (Roku, Fire TV, LG/Samsung apps), payment gateways (stc Pay, Fawry, Tap), analytics tiers, and premium features drive annual increases.
SENSITIVITY: At 10%/yr saves ~$15K by Y5; at 20%/yr adds ~$20K/yr.</t>
        </r>
      </text>
    </comment>
    <comment ref="B21" authorId="0">
      <text>
        <r>
          <rPr>
            <sz val="8"/>
            <color indexed="81"/>
            <rFont val="Tahoma"/>
            <family val="2"/>
          </rPr>
          <t>SOURCE: DataDog Infra $15/host/mo; PagerDuty $25/user/mo; GitHub Actions included; Terraform Cloud free tier.
RATIONALE: Lean SRE stack. 1-2 engineers part-time. Terraform IaC, managed Kubernetes (GKE/EKS). Monitoring covers 5-10 services.
SENSITIVITY: Minimal scaling until 50K+ subs. Combined with security, grows 12%/yr.</t>
        </r>
      </text>
    </comment>
    <comment ref="B22" authorId="0">
      <text>
        <r>
          <rPr>
            <sz val="8"/>
            <color indexed="81"/>
            <rFont val="Tahoma"/>
            <family val="2"/>
          </rPr>
          <t>SOURCE: Cloudflare Pro $200/mo + WAF $20/domain; Widevine L1 DRM licensing ~$2,000/mo at scale; geo-blocking IP service ~$500/mo.
RATIONALE: Mandatory for content protection (studio requirements), MENA regulatory compliance, anti-piracy. 12%/yr growth as territories add complexity.
SENSITIVITY: Cannot reduce below $2,500/mo without losing DRM compliance. Studio requirement.</t>
        </r>
      </text>
    </comment>
    <comment ref="B23" authorId="0">
      <text>
        <r>
          <rPr>
            <sz val="8"/>
            <color indexed="81"/>
            <rFont val="Tahoma"/>
            <family val="2"/>
          </rPr>
          <t>SOURCE: MENA remote full-stack $3-5K/mo (Toptal, Arc.dev rates). Part-time retainer arrangement.
RATIONALE: Ongoing maintenance, feature requests, integration work (telco APIs, payment gateways). Supplements platform SaaS provider's support.
SENSITIVITY: Could increase to $5K/mo if telco integrations prove complex. Flat cost.</t>
        </r>
      </text>
    </comment>
    <comment ref="B24" authorId="0">
      <text>
        <r>
          <rPr>
            <sz val="8"/>
            <color indexed="81"/>
            <rFont val="Tahoma"/>
            <family val="2"/>
          </rPr>
          <t>SOURCE: Contentful Pro $489/mo; Amplitude Starter $149/mo; LaunchDarkly $75/mo; Firebase $25/mo; Strapi Cloud $99/mo.
RATIONALE: Headless CMS for editorial, analytics for engagement/retention, A/B testing for conversion optimisation. Combined tooling stack.
SENSITIVITY: Analytics costs jump at 10K/50K/100K MAU thresholds (Amplitude Growth ~$4K/mo).</t>
        </r>
      </text>
    </comment>
    <comment ref="B25" authorId="0">
      <text>
        <r>
          <rPr>
            <sz val="8"/>
            <color indexed="81"/>
            <rFont val="Tahoma"/>
            <family val="2"/>
          </rPr>
          <t>SOURCE: Amplitude pricing tiers jump 3-5x at 10K, 50K, 100K MAU. Mixpanel similar tiered structure.
RATIONALE: Analytics costs scale non-linearly with user base. Y1 starter tiers, Y3-4 enterprise tiers. Also reflects adding new tools as product matures.
SENSITIVITY: Could be 20% if locked into annual enterprise deals early. 45% is conservative.</t>
        </r>
      </text>
    </comment>
    <comment ref="B26" authorId="0">
      <text>
        <r>
          <rPr>
            <sz val="8"/>
            <color indexed="81"/>
            <rFont val="Tahoma"/>
            <family val="2"/>
          </rPr>
          <t>SOURCE: Stripe 2.9%+30c/txn; Widevine/FairPlay base licensing; Sift fraud detection $0.05/event.
RATIONALE: At 12K subs x $6.50 x 2.9% ~$270/mo payment processing + DRM base fees + fraud monitoring. Scales proportionally with revenue.
SENSITIVITY: Proportional to subscriber base. Payment processing is non-negotiable.</t>
        </r>
      </text>
    </comment>
    <comment ref="B27" authorId="0">
      <text>
        <r>
          <rPr>
            <sz val="8"/>
            <color indexed="81"/>
            <rFont val="Tahoma"/>
            <family val="2"/>
          </rPr>
          <t>SOURCE: Rev.com English captioning $1.50/min = $135/90min film. Arabic MSA premium 2x = $270/title. Industry range $200-400/title.
RATIONALE: Professional MSA subtitles for English-language horror catalogue. Arabic priority; French/Kurdish from Y3. Volume pricing achievable at 250+ titles.
SENSITIVITY: Volume deals at 250+ titles could achieve $200/title. Premium languages (French) higher.</t>
        </r>
      </text>
    </comment>
    <comment ref="B28" authorId="0">
      <text>
        <r>
          <rPr>
            <sz val="8"/>
            <color indexed="81"/>
            <rFont val="Tahoma"/>
            <family val="2"/>
          </rPr>
          <t>SOURCE: Internal planning. Y1 includes backlog localisation of 155 priority titles from 252-title catalogue.
RATIONALE: MSA Arabic subtitles are essential for GCC markets. Non-Arabic speakers &lt;20% of target TAM. Progressive localisation schedule.
SENSITIVITY: Increasing to full catalogue Y1 (252 titles) adds ~$28K but accelerates market readiness.</t>
        </r>
      </text>
    </comment>
    <comment ref="B29" authorId="0">
      <text>
        <r>
          <rPr>
            <sz val="8"/>
            <color indexed="81"/>
            <rFont val="Tahoma"/>
            <family val="2"/>
          </rPr>
          <t>SOURCE: Encoding.com QC $100-200/title; Ooona QC platform ~$150/title; industry average $100-300/title.
RATIONALE: Technical QC (bitrate, sync, artifacts), metadata validation, DRM packaging test, preview generation per title.
SENSITIVITY: Re-QC of backlog is one-time cost in Y1-Y2. Steady-state drops to refresh titles only.</t>
        </r>
      </text>
    </comment>
    <comment ref="B30" authorId="0">
      <text>
        <r>
          <rPr>
            <sz val="8"/>
            <color indexed="81"/>
            <rFont val="Tahoma"/>
            <family val="2"/>
          </rPr>
          <t>SOURCE: Internal planning. Y1 = full 252 backlog + 13 new. Y2+ = re-inspection + new acquisitions.
RATIONALE: All titles need QC before platform launch. Ongoing QC for format updates, new device profiles, content refresh.
SENSITIVITY: Can reduce Y1 by phasing catalogue launch (launch with 150, add 100 in Q3-Q4).</t>
        </r>
      </text>
    </comment>
    <comment ref="B31" authorId="0">
      <text>
        <r>
          <rPr>
            <sz val="8"/>
            <color indexed="81"/>
            <rFont val="Tahoma"/>
            <family val="2"/>
          </rPr>
          <t>SOURCE: Egyptian Arabic studio dub: voice talent $500-800, studio time $400-600, post-production $400-600, direction/adaptation $200-400. Total $1,500-2,400/title.
RATIONALE: Mid-range theatrical quality Egyptian Arabic. Essential for KSA/Egypt mass market appeal.
SENSITIVITY: Turkish-quality dubs cheaper at $1,200. Premium studio (Masrawy-level) $3,500+.</t>
        </r>
      </text>
    </comment>
    <comment ref="B32" authorId="0">
      <text>
        <r>
          <rPr>
            <sz val="8"/>
            <color indexed="81"/>
            <rFont val="Tahoma"/>
            <family val="2"/>
          </rPr>
          <t>SOURCE: Internal planning. Y1 = 50-title foundation slate (top performers from catalogue analytics).
RATIONALE: Priority dubbing for highest-potential titles. Egyptian Arabic unlocks KSA + Egypt + Gulf markets. Not all 252 titles need dubs.
SENSITIVITY: Increasing to 80 Y1 adds $66K. ROI depends on per-title streaming engagement data.</t>
        </r>
      </text>
    </comment>
    <comment ref="B34" authorId="0">
      <text>
        <r>
          <rPr>
            <sz val="8"/>
            <color indexed="81"/>
            <rFont val="Tahoma"/>
            <family val="2"/>
          </rPr>
          <t>SOURCE: GSMA MENA streaming report 2023: avg 7-10 hrs/mo for SVOD users. Netflix global avg ~1.5hrs/day = 45hrs/mo but multi-genre.
RATIONALE: 8 hrs is conservative for a single-genre niche platform. Horror fans are engaged but watch less volume than general entertainment.
SENSITIVITY: +/-2 hrs changes CDN cost by +/-25%. Does not affect other cost lines.</t>
        </r>
      </text>
    </comment>
    <comment ref="B35" authorId="0">
      <text>
        <r>
          <rPr>
            <sz val="8"/>
            <color indexed="81"/>
            <rFont val="Tahoma"/>
            <family val="2"/>
          </rPr>
          <t>SOURCE: Netflix: SD 0.7GB/hr, HD 3GB/hr, UHD 7GB/hr. Average across quality tiers.
RATIONALE: 2.5 GB/hr assumes 75% HD, 25% mobile (SD). MENA is mobile-first market which tempers avg bandwidth.
SENSITIVITY: 4K delivery (future) increases to 5-7 GB/hr. Would roughly double CDN costs.</t>
        </r>
      </text>
    </comment>
    <comment ref="B37" authorId="0">
      <text>
        <r>
          <rPr>
            <sz val="8"/>
            <color indexed="81"/>
            <rFont val="Tahoma"/>
            <family val="2"/>
          </rPr>
          <t>SOURCE: Catalogue inventory from distributor. 252 titles with MENA SVOD rights cleared or clearable.
RATIONALE: Mix of theatrical horror, DTV, and acquisition titles. Represents distributor's existing controlled library.
SENSITIVITY: +/-50 titles changes initial investment by +/-$70K at $1,400/title SVOD window cost.</t>
        </r>
      </text>
    </comment>
    <comment ref="B38" authorId="0">
      <text>
        <r>
          <rPr>
            <sz val="8"/>
            <color indexed="81"/>
            <rFont val="Tahoma"/>
            <family val="2"/>
          </rPr>
          <t>SOURCE: Industry niche SVOD refresh rate: 15-30 titles/yr. Shudder adds ~20-25/month but is global scale.
RATIONALE: 20 new titles/yr sustains freshness without overextending curation. Equivalent to ~2 new titles/month.
SENSITIVITY: At 40 titles/yr, refresh budget doubles. Content refresh is the primary controllable cost lever.</t>
        </r>
      </text>
    </comment>
    <comment ref="B41" authorId="0">
      <text>
        <r>
          <rPr>
            <sz val="8"/>
            <color indexed="81"/>
            <rFont val="Tahoma"/>
            <family val="2"/>
          </rPr>
          <t>SOURCE: Global SVOD CAC $30-80 (Netflix/Disney+); niche SVOD $5-15 (Shudder-level); MENA digital CPM $2-5 (Meta Ads MENA 2024).
RATIONALE: $7.50 Y1 assumes horror community virality + low-cost MENA digital. Increases to $14 by Y5 as easy-to-reach fans are exhausted.
SENSITIVITY: THIS IS THE MOST IMPACTFUL ASSUMPTION. At $15 flat, Y1 marketing increases by $90K. Test this live.</t>
        </r>
      </text>
    </comment>
    <comment ref="B42" authorId="0">
      <text>
        <r>
          <rPr>
            <sz val="8"/>
            <color indexed="81"/>
            <rFont val="Tahoma"/>
            <family val="2"/>
          </rPr>
          <t>SOURCE: MENA social ad rates: Meta CPM $2-5, TikTok CPM $3-8. Budget supports 500K-1M monthly impressions.
RATIONALE: Always-on brand presence across 3-4 platforms. Not acquisition-focused (that's the CAC line). Covers community management, content posting, audience building.
SENSITIVITY: Doubling adds $36K/yr Y1. Diminishing returns above $5K/mo without content strategy.</t>
        </r>
      </text>
    </comment>
    <comment ref="B43" authorId="0">
      <text>
        <r>
          <rPr>
            <sz val="8"/>
            <color indexed="81"/>
            <rFont val="Tahoma"/>
            <family val="2"/>
          </rPr>
          <t>SOURCE: MENA PR retainer: boutique agency $1,500-3,000/mo; freelance publicist $500-1,000/mo.
RATIONALE: Fractional PR: press releases, media outreach, horror community relations, film festival coordination (Maskoon, Cairo, El Gouna).
SENSITIVITY: Full agency retainer would be $3-5K/mo. Festival sponsorship budgets separate from this line.</t>
        </r>
      </text>
    </comment>
    <comment ref="B44" authorId="0">
      <text>
        <r>
          <rPr>
            <sz val="8"/>
            <color indexed="81"/>
            <rFont val="Tahoma"/>
            <family val="2"/>
          </rPr>
          <t>SOURCE: Trailer editing $500-1,500/title; social asset packages $200-500; campaign creative $2-5K per campaign.
RATIONALE: In-house or freelance creative for trailers, social content, campaign assets. Lean production operation.
SENSITIVITY: Professional trailer house: $5-10K per trailer. Increase if going premium on launch trailers.</t>
        </r>
      </text>
    </comment>
    <comment ref="B45" authorId="0">
      <text>
        <r>
          <rPr>
            <sz val="8"/>
            <color indexed="81"/>
            <rFont val="Tahoma"/>
            <family val="2"/>
          </rPr>
          <t>SOURCE: MENA micro-influencer rates: $200-500/post; horror/film niche creators $300-800/post.
RATIONALE: Monthly horror influencer partnerships: 3-5 creators x 2-3 posts = ~$1,500/mo. Community-driven awareness.
SENSITIVITY: Macro-influencer campaigns (500K+ followers) run $2-5K per post. Budget accordingly for launch spikes.</t>
        </r>
      </text>
    </comment>
    <comment ref="B46" authorId="0">
      <text>
        <r>
          <rPr>
            <sz val="8"/>
            <color indexed="81"/>
            <rFont val="Tahoma"/>
            <family val="2"/>
          </rPr>
          <t>SOURCE: Film festival booth $2-5K; screening event $1-3K; regional horror convention presence $3-8K.
RATIONALE: Maskoon (Beirut), Cairo International, El Gouna. 1-2 events/quarter at $2-3K each = ~$1K/mo average.
SENSITIVITY: Major launch event could cost $15-25K one-time. Budget separately if needed.</t>
        </r>
      </text>
    </comment>
    <comment ref="B47" authorId="0">
      <text>
        <r>
          <rPr>
            <sz val="8"/>
            <color indexed="81"/>
            <rFont val="Tahoma"/>
            <family val="2"/>
          </rPr>
          <t>SOURCE: Internal planning. Market entry costs: payment gateway setup, regulatory compliance, local PR, app store localisation.
RATIONALE: Y1=$0 (GCC launch in platform setup), Y2=$30K (Levant 3 markets), Y3=$80K (N.Africa 4 markets), Y4=$100K (Iraq deepening + diaspora), Y5=$80K (Turkey exploratory).
SENSITIVITY: Each territory adds $8-20K in one-time costs. N.Africa requires French localisation investment.</t>
        </r>
      </text>
    </comment>
    <comment ref="B50" authorId="0">
      <text>
        <r>
          <rPr>
            <sz val="8"/>
            <color indexed="81"/>
            <rFont val="Tahoma"/>
            <family val="2"/>
          </rPr>
          <t>SOURCE: MENA remote ops engineer $3,000-5,000/mo (Glassdoor, Bayt.com 2024). Jordan/Egypt-based talent.
RATIONALE: $42K/yr ($3,500/mo) is competitive for remote-first platform operations role. Covers monitoring, deployment, vendor management.
SENSITIVITY: Dubai-based would be $55-65K. Senior DevOps $60-80K. Hire locally to control costs.</t>
        </r>
      </text>
    </comment>
    <comment ref="B51" authorId="0">
      <text>
        <r>
          <rPr>
            <sz val="8"/>
            <color indexed="81"/>
            <rFont val="Tahoma"/>
            <family val="2"/>
          </rPr>
          <t>SOURCE: MENA Arabic CS agent $1,500-2,500/mo (Bayt.com, Wuzzuf 2024). Egypt/Jordan based.
RATIONALE: $24K/yr ($2,000/mo) for Arabic-speaking customer support. Egypt/Jordan timezone coverage.
SENSITIVITY: Premium bilingual (Ar/En/Fr) agent $28-35K. Outsourced CS (Teleperformance) $15-18K but less control.</t>
        </r>
      </text>
    </comment>
    <comment ref="B52" authorId="0">
      <text>
        <r>
          <rPr>
            <sz val="8"/>
            <color indexed="81"/>
            <rFont val="Tahoma"/>
            <family val="2"/>
          </rPr>
          <t>SOURCE: MENA content/editorial roles $2,500-4,000/mo (Bayt.com 2024).
RATIONALE: $36K/yr ($3,000/mo) for content operations: metadata management, editorial scheduling, catalogue curation, subtitling coordination.
SENSITIVITY: Combined with ops engineer in Y1 if budget is tight. Dedicated hire essential by Y2.</t>
        </r>
      </text>
    </comment>
    <comment ref="B53" authorId="0">
      <text>
        <r>
          <rPr>
            <sz val="8"/>
            <color indexed="81"/>
            <rFont val="Tahoma"/>
            <family val="2"/>
          </rPr>
          <t>SOURCE: MENA employer costs: UAE social insurance 12.5% (Emiratis) or 0% (expats); Jordan 14.25%; Egypt ~26%.
RATIONALE: 1.18x (18% above base) covers social insurance, basic health contribution, equipment allowance, internet stipend for remote workers.
SENSITIVITY: 1.25x if providing premium health insurance. 1.30x if matching UAE national requirements.</t>
        </r>
      </text>
    </comment>
    <comment ref="B54" authorId="0">
      <text>
        <r>
          <rPr>
            <sz val="8"/>
            <color indexed="81"/>
            <rFont val="Tahoma"/>
            <family val="2"/>
          </rPr>
          <t>SOURCE: Freelance platform support rates. $15-25/hr for after-hours technical support.
RATIONALE: $1,200/mo covers ~60hrs of on-call availability for weekend/evening coverage and emergency response.
SENSITIVITY: Full 24/7 dedicated coverage: $3-5K/mo. Shared with ops team for shift rotation.</t>
        </r>
      </text>
    </comment>
    <comment ref="B55" authorId="0">
      <text>
        <r>
          <rPr>
            <sz val="8"/>
            <color indexed="81"/>
            <rFont val="Tahoma"/>
            <family val="2"/>
          </rPr>
          <t>SOURCE: Internal planning. Benchmarked against similar-scale SVOD ops (Shahid VIP team structure).
RATIONALE: 1 FTE Y1 (launch), scaling to 3 by Y4 as territories and complexity grow. Each FTE covers 2-3 territories.
SENSITIVITY: Delay second hire to Y3 saves $50K but increases operational risk during Levant launch.</t>
        </r>
      </text>
    </comment>
    <comment ref="B56" authorId="0">
      <text>
        <r>
          <rPr>
            <sz val="8"/>
            <color indexed="81"/>
            <rFont val="Tahoma"/>
            <family val="2"/>
          </rPr>
          <t>SOURCE: Industry benchmark: 1 CS agent per 10,000-15,000 active subs. At 12K subs Y1, 1 agent is minimum.
RATIONALE: Arabic-language CS from Y1. Scale to 3 by Y5 (110K subs / ~37K per agent allows buffer for quality).
SENSITIVITY: Outsourced CS model could halve cost but risks quality. Horror fans expect niche expertise.</t>
        </r>
      </text>
    </comment>
    <comment ref="B57" authorId="0">
      <text>
        <r>
          <rPr>
            <sz val="8"/>
            <color indexed="81"/>
            <rFont val="Tahoma"/>
            <family val="2"/>
          </rPr>
          <t>SOURCE: Internal planning. Content ops needed from day 1 for catalogue management.
RATIONALE: 1 FTE Y1-Y3 for metadata, editorial, curation. 2 FTEs from Y4 as original content programme begins.
SENSITIVITY: Can be part-time contractor in Y1 ($20K/yr) if budget is constrained.</t>
        </r>
      </text>
    </comment>
    <comment ref="B60" authorId="0">
      <text>
        <r>
          <rPr>
            <sz val="8"/>
            <color indexed="81"/>
            <rFont val="Tahoma"/>
            <family val="2"/>
          </rPr>
          <t>SOURCE: UAE law firm retainer: $2,000-5,000/mo for entity maintenance + contract review. DIFC/ADGM regulatory counsel.
RATIONALE: $2,500/mo covers entity maintenance, basic contract review, compliance monitoring, IP advisory. 10%/yr growth as territories add regulatory complexity.
SENSITIVITY: Each new territory adds $1-2K in setup. Full-service firm would be $5-8K/mo.</t>
        </r>
      </text>
    </comment>
    <comment ref="B61" authorId="0">
      <text>
        <r>
          <rPr>
            <sz val="8"/>
            <color indexed="81"/>
            <rFont val="Tahoma"/>
            <family val="2"/>
          </rPr>
          <t>SOURCE: Content licensing legal costs: $1,000-3,000/mo for ongoing rights management.
RATIONALE: SVOD window negotiations, territory clearances, music rights, talent residuals. Essential for content platform.
SENSITIVITY: Increases significantly if pursuing originals (production legal). 10%/yr growth.</t>
        </r>
      </text>
    </comment>
    <comment ref="B62" authorId="0">
      <text>
        <r>
          <rPr>
            <sz val="8"/>
            <color indexed="81"/>
            <rFont val="Tahoma"/>
            <family val="2"/>
          </rPr>
          <t>SOURCE: MENA media licensing: UAE NMC $5-10K/yr; KSA GCAM registration; Egypt Supreme Council approval.
RATIONALE: Each MENA territory has media regulation. $1,000/mo covers ongoing compliance, content classification, regulatory reporting.
SENSITIVITY: N.Africa entry (Y3) adds French-language compliance requirements. 15%/yr growth.</t>
        </r>
      </text>
    </comment>
    <comment ref="B63" authorId="0">
      <text>
        <r>
          <rPr>
            <sz val="8"/>
            <color indexed="81"/>
            <rFont val="Tahoma"/>
            <family val="2"/>
          </rPr>
          <t>SOURCE: MENA SME audit: $5,000-12,000/yr (Big 4 affiliates). Monthly bookkeeping: $400-800/mo.
RATIONALE: $12K/yr covers annual statutory audit (UAE requires for company renewal) + monthly bookkeeping + tax advisory.
SENSITIVITY: Multi-territory tax compliance adds $8-15K/yr from Y3. Transfer pricing if multi-entity.</t>
        </r>
      </text>
    </comment>
    <comment ref="B64" authorId="0">
      <text>
        <r>
          <rPr>
            <sz val="8"/>
            <color indexed="81"/>
            <rFont val="Tahoma"/>
            <family val="2"/>
          </rPr>
          <t>SOURCE: E&amp;O insurance for content company: $3,000-8,000/yr. Cyber liability: $1,000-3,000/yr.
RATIONALE: $6K/yr covers E&amp;O (content licensing), cyber liability (subscriber PII), general commercial insurance.
SENSITIVITY: Content E&amp;O increases with originals. Cyber premiums increase with subscriber base.</t>
        </r>
      </text>
    </comment>
    <comment ref="B65" authorId="0">
      <text>
        <r>
          <rPr>
            <sz val="8"/>
            <color indexed="81"/>
            <rFont val="Tahoma"/>
            <family val="2"/>
          </rPr>
          <t>SOURCE: SaaS tools: Slack $8/user/mo; Google Workspace $14/user/mo; Notion $10/user/mo; misc subscriptions.
RATIONALE: $800/mo covers team software subscriptions, communication tools, project management, compliance tools for 4-8 team members.
SENSITIVITY: Scales slowly with team size. ~$100/person/mo as a rule of thumb.</t>
        </r>
      </text>
    </comment>
    <comment ref="B68" authorId="0">
      <text>
        <r>
          <rPr>
            <sz val="8"/>
            <color indexed="81"/>
            <rFont val="Tahoma"/>
            <family val="2"/>
          </rPr>
          <t>SOURCE: MENA telco partnership legal: $8,000-20,000 per deal. Integration technical costs: $3,000-8,000.
RATIONALE: $15K/deal covers legal structuring (IP licensing, revenue share), technical integration spec, billing integration, initial testing.
SENSITIVITY: Complex IPTV integration (middleware, set-top box) could be $25K+. Simple API deals closer to $8K.</t>
        </r>
      </text>
    </comment>
    <comment ref="B69" authorId="0">
      <text>
        <r>
          <rPr>
            <sz val="8"/>
            <color indexed="81"/>
            <rFont val="Tahoma"/>
            <family val="2"/>
          </rPr>
          <t>SOURCE: Internal pipeline planning. GCC telcos (stc, e&amp;, Ooredoo, Zain) + IPTV operators.
RATIONALE: 1 deal Y1 (proving model), 2/yr Y2+ (expanding across GCC then Levant/N.Africa carriers).
SENSITIVITY: Accelerating to 3 deals/yr adds $15K/yr deal cost + cumulative partner management.</t>
        </r>
      </text>
    </comment>
    <comment ref="B70" authorId="0">
      <text>
        <r>
          <rPr>
            <sz val="8"/>
            <color indexed="81"/>
            <rFont val="Tahoma"/>
            <family val="2"/>
          </rPr>
          <t>SOURCE: Account management: ~20hrs/mo per partner at $75/hr equivalent (blended cost).
RATIONALE: $1,500/mo/partner covers technical support, reporting, content update coordination, promotional planning, billing reconciliation.
SENSITIVITY: Premium partners (stc, e&amp;) may require dedicated account manager ($4-5K/mo each).</t>
        </r>
      </text>
    </comment>
    <comment ref="B71" authorId="0">
      <text>
        <r>
          <rPr>
            <sz val="8"/>
            <color indexed="81"/>
            <rFont val="Tahoma"/>
            <family val="2"/>
          </rPr>
          <t>SOURCE: API integration maintenance, testing environments, monitoring tools.
RATIONALE: $1,000/mo covers shared integration infrastructure: staging environments, API monitoring, partner sandbox, billing system maintenance.
SENSITIVITY: Each new telco integration adds $2-5K one-time. Ongoing cost grows 15%/yr with complexity.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B5" authorId="0">
      <text>
        <r>
          <rPr>
            <sz val="8"/>
            <color indexed="81"/>
            <rFont val="Tahoma"/>
            <family val="2"/>
          </rPr>
          <t>SOURCE: Catalogue inventory from distributor. 252 titles with MENA SVOD rights.
RATIONALE: Mix of theatrical, DTV, and acquisition horror titles.</t>
        </r>
      </text>
    </comment>
    <comment ref="B6" authorId="0">
      <text>
        <r>
          <rPr>
            <sz val="8"/>
            <color indexed="81"/>
            <rFont val="Tahoma"/>
            <family val="2"/>
          </rPr>
          <t>SOURCE: SVOD licence benchmarks: Shudder $200-800/title/yr; AMC+ $1,000-2,000/title/yr for library. Horror niche at $500-1,500 depending on recency.
RATIONALE: $700/title/yr is mid-range for a mixed library. Premium recent titles higher, deep library lower.
SENSITIVITY: At $1,000/title total investment increases 43%. Test against distributor's per-title acquisition cost.</t>
        </r>
      </text>
    </comment>
    <comment ref="B7" authorId="0">
      <text>
        <r>
          <rPr>
            <sz val="8"/>
            <color indexed="81"/>
            <rFont val="Tahoma"/>
            <family val="2"/>
          </rPr>
          <t>SOURCE: Industry standard SVOD windows: 1-3 years. Niche platforms negotiate 2-3yr windows for stability.
RATIONALE: 2yr windows provide content stability without excessive commitment. Renewal at market rate.
SENSITIVITY: 3yr windows reduce annual cost by 33% but lock in pricing. 1yr increases cost but adds flexibility.</t>
        </r>
      </text>
    </comment>
    <comment ref="B9" authorId="0">
      <text>
        <r>
          <rPr>
            <sz val="8"/>
            <color indexed="81"/>
            <rFont val="Tahoma"/>
            <family val="2"/>
          </rPr>
          <t>SOURCE: IFRS 15 / US GAAP ASC 606 content cost amortisation. Aligned with licence window.
RATIONALE: Amortise content cost evenly over licence window for P&amp;L matching.</t>
        </r>
      </text>
    </comment>
    <comment ref="B12" authorId="0">
      <text>
        <r>
          <rPr>
            <sz val="8"/>
            <color indexed="81"/>
            <rFont val="Tahoma"/>
            <family val="2"/>
          </rPr>
          <t>= 252 titles x $1,400/title = $352,800
This is the upfront content cost the distributor must fund.</t>
        </r>
      </text>
    </comment>
    <comment ref="B17" authorId="0">
      <text>
        <r>
          <rPr>
            <sz val="8"/>
            <color indexed="81"/>
            <rFont val="Tahoma"/>
            <family val="2"/>
          </rPr>
          <t>SOURCE: Industry niche SVOD refresh rate: 15-30 titles/yr. Shudder adds ~20-25/month but is global scale.
RATIONALE: 20 Y1 growing to 60 Y5 as revenues grow and catalogue needs freshening.
SENSITIVITY: Each title costs $1,400. Reducing by 10 saves $14K/yr.</t>
        </r>
      </text>
    </comment>
    <comment ref="B33" authorId="0">
      <text>
        <r>
          <rPr>
            <sz val="8"/>
            <color indexed="81"/>
            <rFont val="Tahoma"/>
            <family val="2"/>
          </rPr>
          <t>Multiple on Invested Capital = Total P&amp;L Return / Total Content Investment.
$3,963,130 / $632,800 = 6.3x
This means for every $1 invested in content, the distributor gets back $6.3 in platform operating profit.</t>
        </r>
      </text>
    </comment>
    <comment ref="B34" authorId="0">
      <text>
        <r>
          <rPr>
            <sz val="8"/>
            <color indexed="81"/>
            <rFont val="Tahoma"/>
            <family val="2"/>
          </rPr>
          <t>Payback = year when cumulative net cash flow turns positive.
Based on initial investment + annual refresh vs platform net P&amp;L.
Fraction interpolated linearly within the payback year.</t>
        </r>
      </text>
    </comment>
  </commentList>
</comments>
</file>

<file path=xl/sharedStrings.xml><?xml version="1.0" encoding="utf-8"?>
<sst xmlns="http://schemas.openxmlformats.org/spreadsheetml/2006/main" count="586" uniqueCount="427">
  <si>
    <t>SLASHERPLAY FINANCIAL MODEL v8 -- ASSUMPTIONS &amp; INPUTS</t>
  </si>
  <si>
    <t>Yellow cells are editable inputs. All figures in USD. Content acquisition/licensing excluded. Hover over yellow cells for sources.</t>
  </si>
  <si>
    <t>1 -- SUBSCRIBER &amp; PRICING INPUTS</t>
  </si>
  <si>
    <t>Metric</t>
  </si>
  <si>
    <t>Year 1</t>
  </si>
  <si>
    <t>Year 2</t>
  </si>
  <si>
    <t>Year 3</t>
  </si>
  <si>
    <t>Year 4</t>
  </si>
  <si>
    <t>Year 5</t>
  </si>
  <si>
    <t>Notes</t>
  </si>
  <si>
    <t>D2C subscribers (end of year)</t>
  </si>
  <si>
    <t>EoY paying D2C subs. GCC-first Y1, Levant Y2, N.Africa Y3-Y5. See Territory sheet.</t>
  </si>
  <si>
    <t>D2C monthly ARPU (USD)</t>
  </si>
  <si>
    <t>GCC-weighted Y1 ($8-10). Declines as lower-ARPU Levant/N.Africa mix grows. See Territory sheet.</t>
  </si>
  <si>
    <t>D2C effective paying rate (%)</t>
  </si>
  <si>
    <t>Accounts for churn + ramp timing. Y1=100% (all new), Y2+=~60%.</t>
  </si>
  <si>
    <t>B2B subs -- activated via telco/IPTV (EoY)</t>
  </si>
  <si>
    <t>Telco-activated subs. Recognised when active on platform, not at contract signing.</t>
  </si>
  <si>
    <t>B2B ARPU (USD/activated sub/month)</t>
  </si>
  <si>
    <t>Wholesale rate per activated sub/month. Held flat as contractually fixed per deal.</t>
  </si>
  <si>
    <t>2 -- REVENUE DERIVATION (formula-driven from inputs above)</t>
  </si>
  <si>
    <t>Revenue line</t>
  </si>
  <si>
    <t>Basis</t>
  </si>
  <si>
    <t>D2C subscription revenue</t>
  </si>
  <si>
    <t>avg(prev_EoY, curr_EoY) x active_rate x ARPU x 12. Change any input and revenue updates.</t>
  </si>
  <si>
    <t>B2B / telco revenue</t>
  </si>
  <si>
    <t>Direct input. Deal structures vary (minimums + per-sub). Not purely sub x ARPU.</t>
  </si>
  <si>
    <t>Total revenue</t>
  </si>
  <si>
    <t>3 -- OPEX SUMMARY (detail in Opex Rationale sheet)</t>
  </si>
  <si>
    <t>Cost line</t>
  </si>
  <si>
    <t>Description</t>
  </si>
  <si>
    <t>Tech &amp; platform ops</t>
  </si>
  <si>
    <t>SaaS, CDN, hosting, GPU, CMS, analytics, sub/dub, QC, DRM, security &amp; dev. See Section 2.</t>
  </si>
  <si>
    <t>Marketing &amp; user acquisition</t>
  </si>
  <si>
    <t>Paid acquisition, social, PR, creative, influencer, events, territory launches. See Section 4.</t>
  </si>
  <si>
    <t>B2B &amp; distribution development</t>
  </si>
  <si>
    <t>Deal structuring, partner management, integration &amp; tech support. See Section 7.</t>
  </si>
  <si>
    <t>Team &amp; customer support</t>
  </si>
  <si>
    <t>Ops, CS, content ops headcount x salary x benefits + on-call. See Section 5.</t>
  </si>
  <si>
    <t>Legal, finance &amp; admin</t>
  </si>
  <si>
    <t>Legal retainer, rights, regulatory, audit, insurance, admin. See Section 6.</t>
  </si>
  <si>
    <t>Total platform opex (ex-content)</t>
  </si>
  <si>
    <t>Linked from Opex Rationale sheet. Edit values there to update everywhere.</t>
  </si>
  <si>
    <t>4 -- CULTSCALE FEE PARAMETERS</t>
  </si>
  <si>
    <t>Opex partnership fee rate</t>
  </si>
  <si>
    <t>Applied to all platform opex (excl. content). Covers full operational partnership.</t>
  </si>
  <si>
    <t>Net profit participation rate</t>
  </si>
  <si>
    <t>Applied to annual net profit. Activates from first profitable year.</t>
  </si>
  <si>
    <t>SLASHERPLAY -- 5-YEAR FINANCIAL MODEL</t>
  </si>
  <si>
    <t>Content acquisition/licensing excluded. Models platform operating economics only. All figures formula-driven.</t>
  </si>
  <si>
    <t>REVENUE</t>
  </si>
  <si>
    <t>Formula: avg(EoY subs) x active_rate x ARPU x 12. Edit on Assumptions sheet.</t>
  </si>
  <si>
    <t>Direct input on Assumptions sheet. Includes minimum guarantees.</t>
  </si>
  <si>
    <t>PLATFORM OPEX (ex-content)</t>
  </si>
  <si>
    <t>Total platform opex</t>
  </si>
  <si>
    <t>Net P&amp;L (revenue minus opex)</t>
  </si>
  <si>
    <t>Annual breakeven Year 2. Cumulative breakeven Year 3.</t>
  </si>
  <si>
    <t>Cumulative net P&amp;L</t>
  </si>
  <si>
    <t>Running total from Y1. Turns positive in Year 3.</t>
  </si>
  <si>
    <t>CULTSCALE FEE (15% opex + 15% annual net profit)</t>
  </si>
  <si>
    <t>Opex fee (15% of platform opex)</t>
  </si>
  <si>
    <t>Applies every year including Y1 loss. Covers full operational partnership.</t>
  </si>
  <si>
    <t>Profit participation (15% of net profit)</t>
  </si>
  <si>
    <t>Zero in Y1 (loss year). Activates Year 2 onwards.</t>
  </si>
  <si>
    <t>Total CULTSCALE fee</t>
  </si>
  <si>
    <t>5-year total: $2288K</t>
  </si>
  <si>
    <t>Platform owner net (after all fees)</t>
  </si>
  <si>
    <t>See Distributor Return sheet for full CAPEX analysis.</t>
  </si>
  <si>
    <t>Cumulative platform owner net</t>
  </si>
  <si>
    <t>5-year cumulative: $3963K</t>
  </si>
  <si>
    <t>KEY METRICS</t>
  </si>
  <si>
    <t>Total subs (D2C+B2B, EoY)</t>
  </si>
  <si>
    <t>Blended ARPU (implied, USD/mo)</t>
  </si>
  <si>
    <t>Revenue / avg active subs / 12.</t>
  </si>
  <si>
    <t>CULTSCALE fee as % of revenue</t>
  </si>
  <si>
    <t>Opex as % of revenue</t>
  </si>
  <si>
    <t>Approaching healthy operating leverage by Y4-5.</t>
  </si>
  <si>
    <t>OPEX RATIONALE -- COST BUILD &amp; ASSUMPTIONS (v8: all assumptions sourced)</t>
  </si>
  <si>
    <t>SECTION 1 -- FIVE-LINE OPEX SUMMARY (derived from section builds below)</t>
  </si>
  <si>
    <t>Cost Line</t>
  </si>
  <si>
    <t>Rationale</t>
  </si>
  <si>
    <t>SaaS/apps, CDN, hosting, GPU, CMS, analytics, subtitle, QC, DRM, security &amp; dev. See Section 2 build.</t>
  </si>
  <si>
    <t>Paid acquisition (CAC x net new subs), social media, PR, creative, influencer, events, territory launch. See Section 4 build.</t>
  </si>
  <si>
    <t>Deal legal costs + ongoing partner management + integration &amp; tech support. See Section 7 build.</t>
  </si>
  <si>
    <t>Ops, CS &amp; content ops headcount x salary x benefits multiplier + on-call cover. See Section 5 build.</t>
  </si>
  <si>
    <t>Legal retainer, rights &amp; licensing, regulatory, audit, insurance, admin. See Section 6 build.</t>
  </si>
  <si>
    <t>Sum of five lines above. Each line is derived from its build section.</t>
  </si>
  <si>
    <t>SECTION 0 -- UNIT COST ASSUMPTIONS (hover over yellow cells for sources &amp; rationale)</t>
  </si>
  <si>
    <t>Yellow cells are editable inputs. Single-value assumptions apply to all years. 5-value rows (Y1-Y5) can be set independently per year. Hover for sources.</t>
  </si>
  <si>
    <t>STREAMING &amp; TECH</t>
  </si>
  <si>
    <t>CDN unit rate ($/GB delivered)</t>
  </si>
  <si>
    <t>$/GB. Lower your rate with a volume or annual commitment.</t>
  </si>
  <si>
    <t>Storage &amp; origin ($/mo, Y1 base)</t>
  </si>
  <si>
    <t>$/mo flat. Grows 30%/yr with library expansion (formula in Section 2).</t>
  </si>
  <si>
    <t>Transcoding / GPU server ($/mo)</t>
  </si>
  <si>
    <t>$/mo for spot GPU instance covering ongoing processing workload.</t>
  </si>
  <si>
    <t>Encode cost per new title ($)</t>
  </si>
  <si>
    <t>$/title for initial cloud encode. Low because GPU compute is spot.</t>
  </si>
  <si>
    <t>Platform SaaS base ($/mo, Y1)</t>
  </si>
  <si>
    <t>Streaming platform licence + iOS/Android/SmartTV app maintenance.</t>
  </si>
  <si>
    <t>SaaS annual growth rate (%)</t>
  </si>
  <si>
    <t>Platform SaaS scales with features, devices and support tiers added.</t>
  </si>
  <si>
    <t>DevOps &amp; monitoring ($/mo)</t>
  </si>
  <si>
    <t>SRE tooling, uptime monitoring, alerting, CI/CD pipelines.</t>
  </si>
  <si>
    <t>Security &amp; compliance ($/mo)</t>
  </si>
  <si>
    <t>WAF/DDoS, geo-block, fraud monitoring, GDPR/PDPA tooling. Grows 12%/yr.</t>
  </si>
  <si>
    <t>Developer / contractor ($/mo)</t>
  </si>
  <si>
    <t>Ongoing dev retainer for platform features, integrations, bug-fixes.</t>
  </si>
  <si>
    <t>CMS, analytics &amp; BI tools ($/mo, Y1)</t>
  </si>
  <si>
    <t>Headless CMS, Amplitude/Mixpanel analytics, A/B, BI. Scales with subs.</t>
  </si>
  <si>
    <t>CMS annual growth rate (%)</t>
  </si>
  <si>
    <t>Analytics capacity scales with subscriber volume.</t>
  </si>
  <si>
    <t>Fraud, DRM &amp; billing tools ($/mo)</t>
  </si>
  <si>
    <t>Stripe/payment gateway, Widevine/FairPlay DRM licensing, fraud tools.</t>
  </si>
  <si>
    <t>Subtitle production rate ($/title)</t>
  </si>
  <si>
    <t>MSA subtitle per title. Arabic priority; French/Kurdish from Y3.</t>
  </si>
  <si>
    <t>Subtitle programme (titles/yr Y1-Y5)</t>
  </si>
  <si>
    <t>Titles subtitled per year (including backlog localisation).</t>
  </si>
  <si>
    <t>QC, ingestion &amp; DRM rate ($/title)</t>
  </si>
  <si>
    <t>Per-title QC, ingestion, DRM packaging and preview processing.</t>
  </si>
  <si>
    <t>QC programme (titles/yr Y1-Y5)</t>
  </si>
  <si>
    <t>Titles QC'd per year (new + re-inspection of backlog).</t>
  </si>
  <si>
    <t>Dubbing cost per title ($)</t>
  </si>
  <si>
    <t>Egyptian Arabic dub; average cost inc. voice talent, studio &amp; post.</t>
  </si>
  <si>
    <t>Dubbing programme (titles/yr Y1-Y5)</t>
  </si>
  <si>
    <t>Priority titles dubbed per year. Y1 = foundation 50-title slate.</t>
  </si>
  <si>
    <t>STREAMING VOLUMES</t>
  </si>
  <si>
    <t>Avg viewing hours per D2C sub/month</t>
  </si>
  <si>
    <t>Used to compute CDN GB delivered. Benchmark: MENA SVOD ~7-10 hrs.</t>
  </si>
  <si>
    <t>Data per viewing hour (GB)</t>
  </si>
  <si>
    <t>2.5 GB/hr = ~1080p HD. Increase for 4K delivery.</t>
  </si>
  <si>
    <t>CONTENT LIBRARY</t>
  </si>
  <si>
    <t>Initial library size (titles)</t>
  </si>
  <si>
    <t>Titles available at launch. Used to size initial encode, QC, subs.</t>
  </si>
  <si>
    <t>Refresh titles per year (Y2-Y5)</t>
  </si>
  <si>
    <t>New titles added annually. Drives incremental encode, storage, QC.</t>
  </si>
  <si>
    <t>MARKETING &amp; USER ACQUISITION</t>
  </si>
  <si>
    <t>Customer acquisition cost - CAC ($/sub Y1-Y5)</t>
  </si>
  <si>
    <t>Blended CAC across paid digital. Increases as easy users exhausted.</t>
  </si>
  <si>
    <t>Paid social media ($/mo)</t>
  </si>
  <si>
    <t>Always-on social spend. Grows 15%/yr with platform expansion.</t>
  </si>
  <si>
    <t>PR &amp; brand activities ($/mo)</t>
  </si>
  <si>
    <t>Press, community, events (Maskoon, Cairo, El Gouna). 15%/yr growth.</t>
  </si>
  <si>
    <t>Creative &amp; content production ($/yr)</t>
  </si>
  <si>
    <t>Trailers, social assets, campaign creative. 15%/yr growth.</t>
  </si>
  <si>
    <t>Influencer &amp; community ($/mo)</t>
  </si>
  <si>
    <t>Horror influencer partnerships: 3-5 creators/mo. 20%/yr growth.</t>
  </si>
  <si>
    <t>Events &amp; festivals ($/mo)</t>
  </si>
  <si>
    <t>Maskoon, Cairo International, El Gouna. 20%/yr growth.</t>
  </si>
  <si>
    <t>Territory launch budget ($/yr Y1-Y5)</t>
  </si>
  <si>
    <t>Market entry: payment setup, regulatory, local PR, app localisation.</t>
  </si>
  <si>
    <t>TEAM &amp; CUSTOMER SUPPORT</t>
  </si>
  <si>
    <t>Ops engineer salary ($/yr per FTE)</t>
  </si>
  <si>
    <t>Annual base salary. Region-competitive; remote-first.</t>
  </si>
  <si>
    <t>CS/support agent salary ($/yr per FTE)</t>
  </si>
  <si>
    <t>Includes Arabic-language support capacity from Y2.</t>
  </si>
  <si>
    <t>Content ops salary ($/yr per FTE)</t>
  </si>
  <si>
    <t>Metadata, editorial, catalogue curation, subtitle coordination.</t>
  </si>
  <si>
    <t>Benefits &amp; payroll tax multiplier</t>
  </si>
  <si>
    <t>Employer payroll + benefits. 1.18x = 18% above base.</t>
  </si>
  <si>
    <t>On-call / freelance cover ($/mo)</t>
  </si>
  <si>
    <t>Shift coverage and surge support outside core team hours.</t>
  </si>
  <si>
    <t>Ops FTE headcount (Y1-Y5)</t>
  </si>
  <si>
    <t>Platform operations engineers per year.</t>
  </si>
  <si>
    <t>CS FTE headcount (Y1-Y5)</t>
  </si>
  <si>
    <t>Customer support agents per year.</t>
  </si>
  <si>
    <t>Content ops headcount (Y1-Y5)</t>
  </si>
  <si>
    <t>Content ops / editorial per year.</t>
  </si>
  <si>
    <t>LEGAL, FINANCE &amp; ADMIN</t>
  </si>
  <si>
    <t>Legal retainer ($/mo)</t>
  </si>
  <si>
    <t>UAE entity maintenance + regional counsel. Grows 10%/yr.</t>
  </si>
  <si>
    <t>Rights &amp; licensing ($/mo)</t>
  </si>
  <si>
    <t>SVOD window negotiations, territory clearances, music rights.</t>
  </si>
  <si>
    <t>Regulatory &amp; compliance ($/mo)</t>
  </si>
  <si>
    <t>MENA media licensing, content classification, regulatory reporting.</t>
  </si>
  <si>
    <t>Accounting &amp; audit ($/yr)</t>
  </si>
  <si>
    <t>Annual audit + ongoing bookkeeping. Grows 10%/yr.</t>
  </si>
  <si>
    <t>Business insurance ($/yr)</t>
  </si>
  <si>
    <t>E&amp;O, cyber liability, general commercial insurance.</t>
  </si>
  <si>
    <t>Admin &amp; miscellaneous ($/mo)</t>
  </si>
  <si>
    <t>Software subscriptions, comms tools, compliance misc.</t>
  </si>
  <si>
    <t>B2B &amp; DISTRIBUTION</t>
  </si>
  <si>
    <t>Legal cost per new B2B deal ($)</t>
  </si>
  <si>
    <t>Structuring, IP, integration agreements per new telco/IPTV partner.</t>
  </si>
  <si>
    <t>New B2B deals per year (Y1-Y5)</t>
  </si>
  <si>
    <t>New telco/IPTV partners activated per year.</t>
  </si>
  <si>
    <t>Partner mgmt ($/active partner/mo)</t>
  </si>
  <si>
    <t>Ongoing relationship management per active B2B partner.</t>
  </si>
  <si>
    <t>Integration &amp; tech support ($/mo)</t>
  </si>
  <si>
    <t>API infra, staging environments, partner sandbox, billing. 15%/yr growth.</t>
  </si>
  <si>
    <t>SECTION 2 -- TECH &amp; PLATFORM OPS COST BUILD</t>
  </si>
  <si>
    <t>All formulas reference Section 0 assumptions. Edit yellow cells above to update this build.</t>
  </si>
  <si>
    <t>Component</t>
  </si>
  <si>
    <t>Formula basis</t>
  </si>
  <si>
    <t>Platform SaaS &amp; apps</t>
  </si>
  <si>
    <t>B_SAAS x 12 x (1+SaaS_growth)^year. SmartTV, iOS/Android, integrations.</t>
  </si>
  <si>
    <t>CDN delivery &amp; bandwidth</t>
  </si>
  <si>
    <t>Links to CDN reference section (Section 3). active_subs x hrs x data x rate x 12.</t>
  </si>
  <si>
    <t>Origin hosting &amp; storage</t>
  </si>
  <si>
    <t>B_STOR_mo x 12 x 1.3^year. Covers origin, encode redundancy, egress.</t>
  </si>
  <si>
    <t>GPU / transcoding processing</t>
  </si>
  <si>
    <t>(Server x 12 + new_titles x encode_rate) x 1.15^year. Y1 encodes full library; Y2+ refresh.</t>
  </si>
  <si>
    <t>CMS, analytics &amp; BI tooling</t>
  </si>
  <si>
    <t>B_CMS_mo x 12 x (1+CMS_growth)^year. Analytics capacity scales with subs.</t>
  </si>
  <si>
    <t>DevOps, monitoring &amp; security</t>
  </si>
  <si>
    <t>(DevOps+Security_mo) x 12 x 1.12^year. WAF, DDoS, fraud, geo, GDPR.</t>
  </si>
  <si>
    <t>Developer / contractor budget</t>
  </si>
  <si>
    <t>B_DEV_mo x 12. Ongoing retainer for features, integrations, bug-fixes.</t>
  </si>
  <si>
    <t>Subtitle production (localisation)</t>
  </si>
  <si>
    <t>Subtitle_titles_yr x rate. Arabic priority; backlog grows Y2-Y5.</t>
  </si>
  <si>
    <t>Content QC, ingestion &amp; DRM</t>
  </si>
  <si>
    <t>QC_titles_yr x rate. Re-QC of catalogue + new titles; DRM packaging.</t>
  </si>
  <si>
    <t>Dubbing (priority titles)</t>
  </si>
  <si>
    <t>Dub_titles_yr x rate. Egyptian Arabic priority; 50-title slate Y1.</t>
  </si>
  <si>
    <t>Tech &amp; platform ops TOTAL</t>
  </si>
  <si>
    <t>SECTION 3 -- CDN VOLUME REFERENCE (formula-driven)</t>
  </si>
  <si>
    <t>Computes annual CDN cost from subscriber base, viewing behaviour and unit rate. Edit Section 0 to update.</t>
  </si>
  <si>
    <t>Formula</t>
  </si>
  <si>
    <t>D2C active subs (40% of EoY)</t>
  </si>
  <si>
    <t>40% of D2C EoY subs (active viewer rate). B2B CDN managed by telco partner.</t>
  </si>
  <si>
    <t>Avg viewing hours/sub/month</t>
  </si>
  <si>
    <t>Ref: Section 0 streaming volume assumption.</t>
  </si>
  <si>
    <t>GB delivered per sub/month</t>
  </si>
  <si>
    <t>Annual GB delivered (total K GB)</t>
  </si>
  <si>
    <t>active_subs x GB/sub/mo x 12 months / 1,000.</t>
  </si>
  <si>
    <t>CDN unit rate ($/GB)</t>
  </si>
  <si>
    <t>Ref: Section 0 CDN rate assumption.</t>
  </si>
  <si>
    <t>Annual CDN cost ($)</t>
  </si>
  <si>
    <t>SECTION 4 -- MARKETING &amp; UA COST BUILD</t>
  </si>
  <si>
    <t>CAC applied to net new D2C subs/yr. Flat costs grow 15%/yr. Edit Section 0 to adjust.</t>
  </si>
  <si>
    <t>Paid acquisition (CAC x net new D2C)</t>
  </si>
  <si>
    <t>CAC x net subscriber additions. Y1 = full launch base.</t>
  </si>
  <si>
    <t>Paid social media (always-on)</t>
  </si>
  <si>
    <t>B_SOC_mo x 12 x 1.15^year. Meta/Google/TikTok always-on.</t>
  </si>
  <si>
    <t>PR &amp; brand activities</t>
  </si>
  <si>
    <t>B_PR_mo x 12 x 1.15^year. Events, press, community.</t>
  </si>
  <si>
    <t>Creative &amp; content production</t>
  </si>
  <si>
    <t>B_CREA_yr x 1.15^year. Trailers, social assets, campaign creative.</t>
  </si>
  <si>
    <t>Influencer &amp; community</t>
  </si>
  <si>
    <t>B_INFL_mo x 12 x 1.2^year. Horror creator partnerships.</t>
  </si>
  <si>
    <t>Events &amp; festivals</t>
  </si>
  <si>
    <t>B_EVENTS_mo x 12 x 1.2^year. Maskoon, Cairo Intl, El Gouna.</t>
  </si>
  <si>
    <t>Territory launch budget</t>
  </si>
  <si>
    <t>Direct per-year input. Market entry: payment, regulatory, local PR, localisation.</t>
  </si>
  <si>
    <t>Marketing &amp; UA TOTAL</t>
  </si>
  <si>
    <t>SECTION 5 -- TEAM &amp; CS COST BUILD</t>
  </si>
  <si>
    <t>FTE headcount x salary x benefits multiplier + on-call cover. Edit headcount in Section 0.</t>
  </si>
  <si>
    <t>Ops engineers (headcount x salary x benefits)</t>
  </si>
  <si>
    <t>Ops_FTE_yr x OPS_salary x benefits_mult.</t>
  </si>
  <si>
    <t>CS / support agents</t>
  </si>
  <si>
    <t>CS_FTE_yr x CS_salary x benefits_mult.</t>
  </si>
  <si>
    <t>Content ops / editorial</t>
  </si>
  <si>
    <t>Content_ops_FTE_yr x salary x benefits_mult.</t>
  </si>
  <si>
    <t>On-call &amp; freelance shift cover</t>
  </si>
  <si>
    <t>B_ONC_mo x 12. Surge cover and out-of-hours shifts.</t>
  </si>
  <si>
    <t>Team &amp; CS TOTAL</t>
  </si>
  <si>
    <t>SECTION 6 -- LEGAL, FINANCE &amp; ADMIN COST BUILD</t>
  </si>
  <si>
    <t>Monthly retainer and annual costs, all growing 10%/yr. Edit Section 0 to adjust.</t>
  </si>
  <si>
    <t>Legal retainer (UAE entity + regional)</t>
  </si>
  <si>
    <t>B_LEG_mo x 12 x 1.1^year. Incremental per new territory entry.</t>
  </si>
  <si>
    <t>Rights &amp; licensing admin</t>
  </si>
  <si>
    <t>B_RIGHTS_mo x 12 x 1.1^year. Territory clearances, music rights, SVOD windows.</t>
  </si>
  <si>
    <t>Regulatory &amp; compliance</t>
  </si>
  <si>
    <t>B_REG_mo x 12 x 1.1^year. Media licensing, content classification.</t>
  </si>
  <si>
    <t>Accounting, audit &amp; finance</t>
  </si>
  <si>
    <t>B_ACC_yr x 1.1^year. Annual audit + ongoing bookkeeping.</t>
  </si>
  <si>
    <t>Business insurance</t>
  </si>
  <si>
    <t>B_INS_yr. E&amp;O, cyber liability, general commercial. Flat assumption.</t>
  </si>
  <si>
    <t>Admin &amp; miscellaneous</t>
  </si>
  <si>
    <t>B_ADM_mo x 12. Software subscriptions, comms, compliance misc.</t>
  </si>
  <si>
    <t>Legal, finance &amp; admin TOTAL</t>
  </si>
  <si>
    <t>SECTION 7 -- B2B &amp; DISTRIBUTION COST BUILD</t>
  </si>
  <si>
    <t>New deal legal + partner mgmt (cumulative) + tech integration support. Edit Section 0.</t>
  </si>
  <si>
    <t>New deal legal costs</t>
  </si>
  <si>
    <t>New_deals_yr x legal_cost_per_deal.</t>
  </si>
  <si>
    <t>Partner management (cumulative)</t>
  </si>
  <si>
    <t>Cumulative_active_partners x mgmt_cost/partner/mo x 12.</t>
  </si>
  <si>
    <t>Integration &amp; tech support</t>
  </si>
  <si>
    <t>B_BTECH_mo x 12 x 1.15^year. API, sandbox, billing integration support.</t>
  </si>
  <si>
    <t>B2B &amp; distribution TOTAL</t>
  </si>
  <si>
    <t>SLASHERPLAY -- TERRITORY &amp; LAUNCH REFERENCE</t>
  </si>
  <si>
    <t>SECTION A -- MARKET REFERENCE TABLE (15 territories)</t>
  </si>
  <si>
    <t>Country</t>
  </si>
  <si>
    <t>Region</t>
  </si>
  <si>
    <t>Pop (M)</t>
  </si>
  <si>
    <t>GDP/cap ($K)</t>
  </si>
  <si>
    <t>TAM (subs)</t>
  </si>
  <si>
    <t>Internet%</t>
  </si>
  <si>
    <t>Streaming%</t>
  </si>
  <si>
    <t>Genre%</t>
  </si>
  <si>
    <t>Eff. ARPU</t>
  </si>
  <si>
    <t>Saudi Arabia</t>
  </si>
  <si>
    <t>GCC</t>
  </si>
  <si>
    <t>Dominant anchor. Arabic dub from Y2.</t>
  </si>
  <si>
    <t>UAE</t>
  </si>
  <si>
    <t>Highest ARPU. English catalogue sufficient Y1.</t>
  </si>
  <si>
    <t>Kuwait</t>
  </si>
  <si>
    <t>Shasha overlap - horror identity differentiates.</t>
  </si>
  <si>
    <t>Qatar</t>
  </si>
  <si>
    <t>Expat base; English catalogue accelerates uptake.</t>
  </si>
  <si>
    <t>Bahrain</t>
  </si>
  <si>
    <t>Small; ride KSA marketing spend.</t>
  </si>
  <si>
    <t>Oman</t>
  </si>
  <si>
    <t>Arabic subs Y2; Omantel carrier deal target.</t>
  </si>
  <si>
    <t>Egypt</t>
  </si>
  <si>
    <t>Levant</t>
  </si>
  <si>
    <t>Largest TAM. Egyptian Arabic dub required.</t>
  </si>
  <si>
    <t>Jordan</t>
  </si>
  <si>
    <t>Y2 launch. Bilingual Arabic/English community.</t>
  </si>
  <si>
    <t>Iraq</t>
  </si>
  <si>
    <t>Y2 launch. Kurdish subs unlock Kurdistan region.</t>
  </si>
  <si>
    <t>Lebanon</t>
  </si>
  <si>
    <t>Economic constraints; target diaspora at higher ARPU.</t>
  </si>
  <si>
    <t>Palestine</t>
  </si>
  <si>
    <t>Y3 bundle with Jordan marketing.</t>
  </si>
  <si>
    <t>Morocco</t>
  </si>
  <si>
    <t>N.Africa</t>
  </si>
  <si>
    <t>Y3. French subtitle track essential.</t>
  </si>
  <si>
    <t>Algeria</t>
  </si>
  <si>
    <t>Y3 B2B-first via Djezzy.</t>
  </si>
  <si>
    <t>Tunisia</t>
  </si>
  <si>
    <t>Y3. High digital literacy; French crossover.</t>
  </si>
  <si>
    <t>Libya</t>
  </si>
  <si>
    <t>Y5 at earliest. Infrastructure/payment limits.</t>
  </si>
  <si>
    <t>MENA TOTAL</t>
  </si>
  <si>
    <t>SECTION B -- D2C SUBSCRIBER MIX BY TERRITORY (editable -- yellow cells are inputs)</t>
  </si>
  <si>
    <t>Total D2C subscribers (end of year)</t>
  </si>
  <si>
    <t>Model target (from P&amp;L)</t>
  </si>
  <si>
    <t>SECTION C -- WEIGHTED ARPU VALIDATION (formula-driven from Section B)</t>
  </si>
  <si>
    <t>GCC D2C subs (EoY)</t>
  </si>
  <si>
    <t>Sum of 6 GCC country rows from Section B.</t>
  </si>
  <si>
    <t>Levant + Egypt D2C subs (EoY)</t>
  </si>
  <si>
    <t>Egypt, Jordan, Iraq, Lebanon, Palestine.</t>
  </si>
  <si>
    <t>North Africa D2C subs (EoY)</t>
  </si>
  <si>
    <t>Morocco, Algeria, Tunisia, Libya.</t>
  </si>
  <si>
    <t>CALCULATED weighted ARPU ($/mo)</t>
  </si>
  <si>
    <t>SUMPRODUCT of country ARPU x country subs / total subs.</t>
  </si>
  <si>
    <t>Model ARPU used in Assumptions</t>
  </si>
  <si>
    <t>Cross-references Assumptions sheet.</t>
  </si>
  <si>
    <t>Variance (calculated vs model)</t>
  </si>
  <si>
    <t>Should be near zero.</t>
  </si>
  <si>
    <t>SECTION D -- LAUNCH SEQUENCE &amp; MARKET ACTIVATION TIMELINE</t>
  </si>
  <si>
    <t>Period</t>
  </si>
  <si>
    <t>D2C Activation</t>
  </si>
  <si>
    <t>B2B Targets</t>
  </si>
  <si>
    <t>Key Milestones</t>
  </si>
  <si>
    <t>Tactical Notes</t>
  </si>
  <si>
    <t>Year 1
(Months 1-12)</t>
  </si>
  <si>
    <t>GCC + Egypt D2C launch</t>
  </si>
  <si>
    <t>1 Gulf telco deal (e&amp; UAE or STC KSA)</t>
  </si>
  <si>
    <t>6 markets, ~3.0M TAM. English catalogue, MSA subtitles. Payments: card + stc Pay + e&amp; wallet.</t>
  </si>
  <si>
    <t>Horror community soft-launch (KSA + UAE). Hard launch at Eid or regional horror event.</t>
  </si>
  <si>
    <t>Year 2
(Months 13-24)</t>
  </si>
  <si>
    <t>Levant entry: Jordan, Iraq, Lebanon</t>
  </si>
  <si>
    <t>2 new deals (GCC expansion + IPTV bundle)</t>
  </si>
  <si>
    <t>Arabic + Kurdish subs unlock Iraq. Egyptian Arabic dubs top 30 titles. Diaspora campaign.</t>
  </si>
  <si>
    <t>Zain Jordan D2C. Asiacell Iraq B2B. Levant horror YouTube community activation.</t>
  </si>
  <si>
    <t>Year 3
(Months 25-36)</t>
  </si>
  <si>
    <t>N.Africa: Morocco, Algeria, Tunisia + Palestine</t>
  </si>
  <si>
    <t>Jordan renewal + N.Africa carrier targets</t>
  </si>
  <si>
    <t>French subtitle track activates Morocco/Tunisia crossover. Algeria via Djezzy telco-first.</t>
  </si>
  <si>
    <t>Arabic originals programme launch. Editorial voice becomes primary acquisition driver.</t>
  </si>
  <si>
    <t>Year 4
(Months 37-48)</t>
  </si>
  <si>
    <t>Iraq deepening + diaspora campaigns</t>
  </si>
  <si>
    <t>Asiacell/Korek Iraq + Turkey exploratory</t>
  </si>
  <si>
    <t>Kurdish-language acquisitions. Iraq market deepening. Persian/Farsi subs top 100 titles.</t>
  </si>
  <si>
    <t>Review N.Africa penetration. Decide French originals brief. Turkey deal subject to Y1-2 signals.</t>
  </si>
  <si>
    <t>Year 5
(Months 49-60)</t>
  </si>
  <si>
    <t>Turkey B2B + full MENA consolidation</t>
  </si>
  <si>
    <t>Turkey carrier close + Libya exploratory</t>
  </si>
  <si>
    <t>Full 15-territory MENA footprint operational. Original production in active development.</t>
  </si>
  <si>
    <t>License regional originals outward. Evaluate Series B or strategic partnership.</t>
  </si>
  <si>
    <t>SLASHERPLAY -- DISTRIBUTOR RETURN ANALYSIS</t>
  </si>
  <si>
    <t>Value creation analysis for content owner/distributor operating the SlasherPlay platform</t>
  </si>
  <si>
    <t>SECTION 1 -- SVOD LICENCE MODEL INPUTS (editable assumptions in yellow)</t>
  </si>
  <si>
    <t>Library titles at launch</t>
  </si>
  <si>
    <t>Base SVOD rate ($/title/year)</t>
  </si>
  <si>
    <t>Licence window (years)</t>
  </si>
  <si>
    <t>Total cost per title (rate x window)</t>
  </si>
  <si>
    <t>Amortisation period (years)</t>
  </si>
  <si>
    <t>SECTION 2 -- INITIAL LIBRARY INVESTMENT</t>
  </si>
  <si>
    <t>Initial library investment</t>
  </si>
  <si>
    <t>Annualised amortisation</t>
  </si>
  <si>
    <t>SECTION 3 -- ANNUAL CONTENT REFRESH</t>
  </si>
  <si>
    <t>New titles acquired</t>
  </si>
  <si>
    <t>Avg cost per title (rate x window)</t>
  </si>
  <si>
    <t>Annual refresh budget</t>
  </si>
  <si>
    <t>SECTION 4 -- 5-YEAR DISTRIBUTOR CASH FLOW</t>
  </si>
  <si>
    <t>Total</t>
  </si>
  <si>
    <t>Platform operating P&amp;L (after CULTSCALE fees)</t>
  </si>
  <si>
    <t>Less: initial library amortisation</t>
  </si>
  <si>
    <t>Less: content refresh investment</t>
  </si>
  <si>
    <t>NET CASH FLOW TO DISTRIBUTOR</t>
  </si>
  <si>
    <t>SECTION 5 -- RETURN METRICS</t>
  </si>
  <si>
    <t>Value</t>
  </si>
  <si>
    <t>Source / Explanation</t>
  </si>
  <si>
    <t>Total content investment (5yr)</t>
  </si>
  <si>
    <t>Initial library + all refresh investments</t>
  </si>
  <si>
    <t>Total operating P&amp;L return (5yr)</t>
  </si>
  <si>
    <t>Sum of platform net P&amp;L after CULTSCALE fees</t>
  </si>
  <si>
    <t>Total net cash flow (5yr)</t>
  </si>
  <si>
    <t>P&amp;L return minus content investment</t>
  </si>
  <si>
    <t>MOIC (Multiple on Invested Capital)</t>
  </si>
  <si>
    <t>Total P&amp;L return / Total content investment</t>
  </si>
  <si>
    <t>Payback period (years)</t>
  </si>
  <si>
    <t>Year cumulative net CF breaks even</t>
  </si>
  <si>
    <t>CUMULATIVE CASH FLOW PROFILE</t>
  </si>
  <si>
    <t>Year 0</t>
  </si>
  <si>
    <t>Annual cash flow</t>
  </si>
  <si>
    <t>Cumulative cash flow</t>
  </si>
  <si>
    <t>SECTION 6 -- KEY SENSITIVITIES FOR DISCUSSION</t>
  </si>
  <si>
    <t>Content SVOD rate</t>
  </si>
  <si>
    <t>Currently $700/title/yr. At $1,000, total investment increases 43%. Test against distributor's own per-title cost basis.</t>
  </si>
  <si>
    <t>D2C active rate</t>
  </si>
  <si>
    <t>Y2+ at ~60%. If improved to 70% (better retention), D2C revenue increases ~15%. Most impactful lever after subscriber count.</t>
  </si>
  <si>
    <t>Customer acquisition cost</t>
  </si>
  <si>
    <t>$7.50 Y1 to $14 Y5. At $15 flat, Y1 marketing increases $90K. Horror virality could deliver lower CAC.</t>
  </si>
  <si>
    <t>B2B revenue</t>
  </si>
  <si>
    <t>Most opaque line. Based on deal minimums not subs x ARPU. Each deal worth $200-700K/yr depending on partner size.</t>
  </si>
  <si>
    <t>Territory launch pace</t>
  </si>
  <si>
    <t>Accelerating N.Africa by 1 year adds $80K capex but unlocks 1.2M additional TAM 1 year earlier.</t>
  </si>
  <si>
    <t>CULTSCALE fee structure</t>
  </si>
  <si>
    <t>15% opex + 15% profit share. At 10%+10%, distributor net improves ~$300K over 5yr. Negotiation lever.</t>
  </si>
  <si>
    <t>Content refresh rate</t>
  </si>
  <si>
    <t>20 titles Y1 to 60 Y5. Each title costs $1,400. Reducing by 10 saves $14K/yr but risks subscriber churn.</t>
  </si>
  <si>
    <t>Licence window length</t>
  </si>
  <si>
    <t>2yr windows. At 3yr, per-year cost drops 33% but locks in pricing. Flexibility vs cost trade-off.</t>
  </si>
</sst>
</file>

<file path=xl/styles.xml><?xml version="1.0" encoding="utf-8"?>
<styleSheet xmlns="http://schemas.openxmlformats.org/spreadsheetml/2006/main">
  <numFmts count="12">
    <numFmt numFmtId="164" formatCode="#,##0"/>
    <numFmt numFmtId="165" formatCode="&quot;$&quot;0.00"/>
    <numFmt numFmtId="166" formatCode="0%"/>
    <numFmt numFmtId="167" formatCode="&quot;$&quot;#,##0"/>
    <numFmt numFmtId="168" formatCode="0.0&quot;%&quot;"/>
    <numFmt numFmtId="169" formatCode="0.00"/>
    <numFmt numFmtId="170" formatCode="0.0%"/>
    <numFmt numFmtId="171" formatCode="0.0"/>
    <numFmt numFmtId="172" formatCode="$0.000"/>
    <numFmt numFmtId="173" formatCode="$&quot;#,##0"/>
    <numFmt numFmtId="174" formatCode="&quot;$&quot;0.0"/>
    <numFmt numFmtId="175" formatCode="0.0x"/>
  </numFmts>
  <fonts count="28">
    <font>
      <sz val="11"/>
      <color theme="1"/>
      <name val="Calibri"/>
      <family val="2"/>
      <scheme val="minor"/>
    </font>
    <font>
      <b/>
      <sz val="13"/>
      <color rgb="FFFFFFFF"/>
      <name val="Calibri"/>
      <family val="2"/>
      <scheme val="minor"/>
    </font>
    <font>
      <i/>
      <sz val="8"/>
      <color rgb="FFB78A3C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9"/>
      <color rgb="FF111111"/>
      <name val="Calibri"/>
      <family val="2"/>
      <scheme val="minor"/>
    </font>
    <font>
      <i/>
      <sz val="7.5"/>
      <color rgb="FF666666"/>
      <name val="Calibri"/>
      <family val="2"/>
      <scheme val="minor"/>
    </font>
    <font>
      <b/>
      <sz val="9"/>
      <color rgb="FFB78A3C"/>
      <name val="Calibri"/>
      <family val="2"/>
      <scheme val="minor"/>
    </font>
    <font>
      <sz val="7.5"/>
      <color rgb="FF111111"/>
      <name val="Calibri"/>
      <family val="2"/>
      <scheme val="minor"/>
    </font>
    <font>
      <b/>
      <sz val="9"/>
      <color rgb="FFC62828"/>
      <name val="Calibri"/>
      <family val="2"/>
      <scheme val="minor"/>
    </font>
    <font>
      <b/>
      <sz val="9"/>
      <color rgb="FF1A6B2A"/>
      <name val="Calibri"/>
      <family val="2"/>
      <scheme val="minor"/>
    </font>
    <font>
      <b/>
      <sz val="12"/>
      <color rgb="FFFFFFFF"/>
      <name val="Calibri"/>
      <family val="2"/>
      <scheme val="minor"/>
    </font>
    <font>
      <i/>
      <sz val="9"/>
      <color rgb="FFB78A3C"/>
      <name val="Calibri"/>
      <family val="2"/>
      <scheme val="minor"/>
    </font>
    <font>
      <b/>
      <sz val="8"/>
      <color rgb="FF16213E"/>
      <name val="Calibri"/>
      <family val="2"/>
      <scheme val="minor"/>
    </font>
    <font>
      <sz val="9"/>
      <color rgb="FF666666"/>
      <name val="Calibri"/>
      <family val="2"/>
      <scheme val="minor"/>
    </font>
    <font>
      <sz val="8"/>
      <color rgb="FF111111"/>
      <name val="Calibri"/>
      <family val="2"/>
      <scheme val="minor"/>
    </font>
    <font>
      <sz val="8"/>
      <color rgb="FFFFFFFF"/>
      <name val="Calibri"/>
      <family val="2"/>
      <scheme val="minor"/>
    </font>
    <font>
      <b/>
      <sz val="9"/>
      <color rgb="FF2D5A1B"/>
      <name val="Calibri"/>
      <family val="2"/>
      <scheme val="minor"/>
    </font>
    <font>
      <i/>
      <sz val="7"/>
      <color rgb="FF666666"/>
      <name val="Calibri"/>
      <family val="2"/>
      <scheme val="minor"/>
    </font>
    <font>
      <i/>
      <sz val="8"/>
      <color rgb="FF666666"/>
      <name val="Calibri"/>
      <family val="2"/>
      <scheme val="minor"/>
    </font>
    <font>
      <sz val="8"/>
      <color rgb="FF555555"/>
      <name val="Calibri"/>
      <family val="2"/>
      <scheme val="minor"/>
    </font>
    <font>
      <b/>
      <sz val="9"/>
      <color rgb="FF111111"/>
      <name val="Calibri"/>
      <family val="2"/>
      <scheme val="minor"/>
    </font>
    <font>
      <sz val="7"/>
      <color rgb="FF111111"/>
      <name val="Calibri"/>
      <family val="2"/>
      <scheme val="minor"/>
    </font>
    <font>
      <sz val="9"/>
      <color rgb="FFC62828"/>
      <name val="Calibri"/>
      <family val="2"/>
      <scheme val="minor"/>
    </font>
    <font>
      <b/>
      <sz val="10"/>
      <color rgb="FF111111"/>
      <name val="Calibri"/>
      <family val="2"/>
      <scheme val="minor"/>
    </font>
    <font>
      <b/>
      <sz val="11"/>
      <color rgb="FF1A6B2A"/>
      <name val="Calibri"/>
      <family val="2"/>
      <scheme val="minor"/>
    </font>
    <font>
      <sz val="8"/>
      <color rgb="FF666666"/>
      <name val="Calibri"/>
      <family val="2"/>
      <scheme val="minor"/>
    </font>
    <font>
      <sz val="8"/>
      <color indexed="8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rgb="FF1A1A2E"/>
        <bgColor indexed="64"/>
      </patternFill>
    </fill>
    <fill>
      <patternFill patternType="solid">
        <fgColor rgb="FF16213E"/>
        <bgColor indexed="64"/>
      </patternFill>
    </fill>
    <fill>
      <patternFill patternType="solid">
        <fgColor rgb="FF0F3460"/>
        <bgColor indexed="64"/>
      </patternFill>
    </fill>
    <fill>
      <patternFill patternType="solid">
        <fgColor rgb="FFFFFDE7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8E7"/>
        <bgColor indexed="64"/>
      </patternFill>
    </fill>
    <fill>
      <patternFill patternType="solid">
        <fgColor rgb="FFFFEBEE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5A1A1A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A3A5A"/>
        <bgColor indexed="64"/>
      </patternFill>
    </fill>
    <fill>
      <patternFill patternType="solid">
        <fgColor rgb="FF2A1A4A"/>
        <bgColor indexed="64"/>
      </patternFill>
    </fill>
    <fill>
      <patternFill patternType="solid">
        <fgColor rgb="FF3A2A1A"/>
        <bgColor indexed="64"/>
      </patternFill>
    </fill>
    <fill>
      <patternFill patternType="solid">
        <fgColor rgb="FF2D3A5A"/>
        <bgColor indexed="64"/>
      </patternFill>
    </fill>
    <fill>
      <patternFill patternType="solid">
        <fgColor rgb="FF1A6B2A"/>
        <bgColor indexed="64"/>
      </patternFill>
    </fill>
    <fill>
      <patternFill patternType="solid">
        <fgColor rgb="FF1A4A8A"/>
        <bgColor indexed="64"/>
      </patternFill>
    </fill>
    <fill>
      <patternFill patternType="solid">
        <fgColor rgb="FF6A2A8A"/>
        <bgColor indexed="64"/>
      </patternFill>
    </fill>
    <fill>
      <patternFill patternType="solid">
        <fgColor rgb="FF8A6A1A"/>
        <bgColor indexed="64"/>
      </patternFill>
    </fill>
    <fill>
      <patternFill patternType="solid">
        <fgColor rgb="FF444444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99"/>
      </left>
      <right style="thin">
        <color rgb="FFCCCC99"/>
      </right>
      <top style="thin">
        <color rgb="FFCCCC99"/>
      </top>
      <bottom style="thin">
        <color rgb="FFCCCC99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78A3C"/>
      </left>
      <right style="thin">
        <color rgb="FFB78A3C"/>
      </right>
      <top style="thin">
        <color rgb="FFB78A3C"/>
      </top>
      <bottom style="thin">
        <color rgb="FFB78A3C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5" fillId="5" borderId="3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/>
    </xf>
    <xf numFmtId="165" fontId="5" fillId="5" borderId="3" xfId="0" applyNumberFormat="1" applyFont="1" applyFill="1" applyBorder="1" applyAlignment="1">
      <alignment horizontal="right" vertical="center"/>
    </xf>
    <xf numFmtId="166" fontId="5" fillId="5" borderId="3" xfId="0" applyNumberFormat="1" applyFont="1" applyFill="1" applyBorder="1" applyAlignment="1">
      <alignment horizontal="right" vertical="center"/>
    </xf>
    <xf numFmtId="167" fontId="5" fillId="0" borderId="2" xfId="0" applyNumberFormat="1" applyFont="1" applyBorder="1" applyAlignment="1">
      <alignment horizontal="right" vertical="center"/>
    </xf>
    <xf numFmtId="167" fontId="5" fillId="5" borderId="3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167" fontId="3" fillId="2" borderId="2" xfId="0" applyNumberFormat="1" applyFont="1" applyFill="1" applyBorder="1" applyAlignment="1">
      <alignment horizontal="right" vertical="center"/>
    </xf>
    <xf numFmtId="167" fontId="5" fillId="7" borderId="2" xfId="0" applyNumberFormat="1" applyFont="1" applyFill="1" applyBorder="1" applyAlignment="1">
      <alignment horizontal="right" vertical="center"/>
    </xf>
    <xf numFmtId="167" fontId="5" fillId="6" borderId="2" xfId="0" applyNumberFormat="1" applyFont="1" applyFill="1" applyBorder="1" applyAlignment="1">
      <alignment horizontal="right" vertical="center"/>
    </xf>
    <xf numFmtId="166" fontId="7" fillId="8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167" fontId="3" fillId="3" borderId="2" xfId="0" applyNumberFormat="1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167" fontId="9" fillId="9" borderId="4" xfId="0" applyNumberFormat="1" applyFont="1" applyFill="1" applyBorder="1" applyAlignment="1">
      <alignment horizontal="right" vertical="center"/>
    </xf>
    <xf numFmtId="167" fontId="10" fillId="10" borderId="4" xfId="0" applyNumberFormat="1" applyFont="1" applyFill="1" applyBorder="1" applyAlignment="1">
      <alignment horizontal="right" vertical="center"/>
    </xf>
    <xf numFmtId="0" fontId="4" fillId="11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5" fillId="7" borderId="2" xfId="0" applyNumberFormat="1" applyFont="1" applyFill="1" applyBorder="1" applyAlignment="1">
      <alignment horizontal="right" vertical="center"/>
    </xf>
    <xf numFmtId="165" fontId="5" fillId="6" borderId="2" xfId="0" applyNumberFormat="1" applyFont="1" applyFill="1" applyBorder="1" applyAlignment="1">
      <alignment horizontal="right" vertical="center"/>
    </xf>
    <xf numFmtId="168" fontId="5" fillId="7" borderId="2" xfId="0" applyNumberFormat="1" applyFont="1" applyFill="1" applyBorder="1" applyAlignment="1">
      <alignment horizontal="right" vertical="center"/>
    </xf>
    <xf numFmtId="168" fontId="5" fillId="6" borderId="2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169" fontId="5" fillId="5" borderId="3" xfId="0" applyNumberFormat="1" applyFont="1" applyFill="1" applyBorder="1" applyAlignment="1">
      <alignment horizontal="right" vertical="center"/>
    </xf>
    <xf numFmtId="0" fontId="14" fillId="12" borderId="2" xfId="0" applyFont="1" applyFill="1" applyBorder="1" applyAlignment="1">
      <alignment horizontal="center" vertical="center"/>
    </xf>
    <xf numFmtId="170" fontId="5" fillId="5" borderId="3" xfId="0" applyNumberFormat="1" applyFont="1" applyFill="1" applyBorder="1" applyAlignment="1">
      <alignment horizontal="right" vertical="center"/>
    </xf>
    <xf numFmtId="0" fontId="15" fillId="7" borderId="2" xfId="0" applyFont="1" applyFill="1" applyBorder="1" applyAlignment="1">
      <alignment horizontal="left" vertical="center"/>
    </xf>
    <xf numFmtId="164" fontId="15" fillId="7" borderId="2" xfId="0" applyNumberFormat="1" applyFont="1" applyFill="1" applyBorder="1" applyAlignment="1">
      <alignment horizontal="right" vertical="center"/>
    </xf>
    <xf numFmtId="0" fontId="15" fillId="6" borderId="2" xfId="0" applyFont="1" applyFill="1" applyBorder="1" applyAlignment="1">
      <alignment horizontal="left" vertical="center"/>
    </xf>
    <xf numFmtId="171" fontId="15" fillId="6" borderId="2" xfId="0" applyNumberFormat="1" applyFont="1" applyFill="1" applyBorder="1" applyAlignment="1">
      <alignment horizontal="right" vertical="center"/>
    </xf>
    <xf numFmtId="169" fontId="15" fillId="7" borderId="2" xfId="0" applyNumberFormat="1" applyFont="1" applyFill="1" applyBorder="1" applyAlignment="1">
      <alignment horizontal="right" vertical="center"/>
    </xf>
    <xf numFmtId="169" fontId="15" fillId="6" borderId="2" xfId="0" applyNumberFormat="1" applyFont="1" applyFill="1" applyBorder="1" applyAlignment="1">
      <alignment horizontal="right" vertical="center"/>
    </xf>
    <xf numFmtId="172" fontId="15" fillId="6" borderId="2" xfId="0" applyNumberFormat="1" applyFont="1" applyFill="1" applyBorder="1" applyAlignment="1">
      <alignment horizontal="right" vertical="center"/>
    </xf>
    <xf numFmtId="173" fontId="15" fillId="7" borderId="2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16" fillId="13" borderId="2" xfId="0" applyFont="1" applyFill="1" applyBorder="1" applyAlignment="1">
      <alignment horizontal="center" vertical="center"/>
    </xf>
    <xf numFmtId="169" fontId="5" fillId="7" borderId="2" xfId="0" applyNumberFormat="1" applyFont="1" applyFill="1" applyBorder="1" applyAlignment="1">
      <alignment horizontal="right" vertical="center"/>
    </xf>
    <xf numFmtId="174" fontId="5" fillId="7" borderId="2" xfId="0" applyNumberFormat="1" applyFont="1" applyFill="1" applyBorder="1" applyAlignment="1">
      <alignment horizontal="right" vertical="center"/>
    </xf>
    <xf numFmtId="166" fontId="5" fillId="7" borderId="2" xfId="0" applyNumberFormat="1" applyFont="1" applyFill="1" applyBorder="1" applyAlignment="1">
      <alignment horizontal="right" vertical="center"/>
    </xf>
    <xf numFmtId="165" fontId="17" fillId="8" borderId="5" xfId="0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169" fontId="5" fillId="6" borderId="2" xfId="0" applyNumberFormat="1" applyFont="1" applyFill="1" applyBorder="1" applyAlignment="1">
      <alignment horizontal="right" vertical="center"/>
    </xf>
    <xf numFmtId="174" fontId="5" fillId="6" borderId="2" xfId="0" applyNumberFormat="1" applyFont="1" applyFill="1" applyBorder="1" applyAlignment="1">
      <alignment horizontal="right" vertical="center"/>
    </xf>
    <xf numFmtId="164" fontId="5" fillId="6" borderId="2" xfId="0" applyNumberFormat="1" applyFont="1" applyFill="1" applyBorder="1" applyAlignment="1">
      <alignment horizontal="right" vertical="center"/>
    </xf>
    <xf numFmtId="166" fontId="5" fillId="6" borderId="2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left" vertical="center"/>
    </xf>
    <xf numFmtId="0" fontId="16" fillId="14" borderId="2" xfId="0" applyFont="1" applyFill="1" applyBorder="1" applyAlignment="1">
      <alignment horizontal="center" vertical="center"/>
    </xf>
    <xf numFmtId="0" fontId="16" fillId="15" borderId="2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left" vertical="center"/>
    </xf>
    <xf numFmtId="0" fontId="15" fillId="13" borderId="2" xfId="0" applyFont="1" applyFill="1" applyBorder="1" applyAlignment="1">
      <alignment horizontal="left" vertical="center"/>
    </xf>
    <xf numFmtId="169" fontId="3" fillId="13" borderId="2" xfId="0" applyNumberFormat="1" applyFont="1" applyFill="1" applyBorder="1" applyAlignment="1">
      <alignment horizontal="right" vertical="center"/>
    </xf>
    <xf numFmtId="0" fontId="5" fillId="13" borderId="2" xfId="0" applyFont="1" applyFill="1" applyBorder="1" applyAlignment="1">
      <alignment horizontal="left" vertical="center"/>
    </xf>
    <xf numFmtId="164" fontId="3" fillId="13" borderId="2" xfId="0" applyNumberFormat="1" applyFont="1" applyFill="1" applyBorder="1" applyAlignment="1">
      <alignment horizontal="right" vertical="center"/>
    </xf>
    <xf numFmtId="0" fontId="3" fillId="14" borderId="2" xfId="0" applyFont="1" applyFill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169" fontId="3" fillId="14" borderId="2" xfId="0" applyNumberFormat="1" applyFont="1" applyFill="1" applyBorder="1" applyAlignment="1">
      <alignment horizontal="right" vertical="center"/>
    </xf>
    <xf numFmtId="0" fontId="5" fillId="14" borderId="2" xfId="0" applyFont="1" applyFill="1" applyBorder="1" applyAlignment="1">
      <alignment horizontal="left" vertical="center"/>
    </xf>
    <xf numFmtId="164" fontId="3" fillId="14" borderId="2" xfId="0" applyNumberFormat="1" applyFont="1" applyFill="1" applyBorder="1" applyAlignment="1">
      <alignment horizontal="right" vertical="center"/>
    </xf>
    <xf numFmtId="0" fontId="3" fillId="15" borderId="2" xfId="0" applyFont="1" applyFill="1" applyBorder="1" applyAlignment="1">
      <alignment horizontal="left" vertical="center"/>
    </xf>
    <xf numFmtId="0" fontId="15" fillId="15" borderId="2" xfId="0" applyFont="1" applyFill="1" applyBorder="1" applyAlignment="1">
      <alignment horizontal="left" vertical="center"/>
    </xf>
    <xf numFmtId="169" fontId="3" fillId="15" borderId="2" xfId="0" applyNumberFormat="1" applyFont="1" applyFill="1" applyBorder="1" applyAlignment="1">
      <alignment horizontal="right" vertical="center"/>
    </xf>
    <xf numFmtId="0" fontId="5" fillId="15" borderId="2" xfId="0" applyFont="1" applyFill="1" applyBorder="1" applyAlignment="1">
      <alignment horizontal="left" vertical="center"/>
    </xf>
    <xf numFmtId="164" fontId="3" fillId="15" borderId="2" xfId="0" applyNumberFormat="1" applyFont="1" applyFill="1" applyBorder="1" applyAlignment="1">
      <alignment horizontal="right" vertical="center"/>
    </xf>
    <xf numFmtId="0" fontId="15" fillId="2" borderId="2" xfId="0" applyFont="1" applyFill="1" applyBorder="1" applyAlignment="1">
      <alignment horizontal="left" vertical="center"/>
    </xf>
    <xf numFmtId="169" fontId="3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right" vertical="center"/>
    </xf>
    <xf numFmtId="0" fontId="18" fillId="7" borderId="2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left" vertical="center" wrapText="1"/>
    </xf>
    <xf numFmtId="0" fontId="19" fillId="6" borderId="2" xfId="0" applyFont="1" applyFill="1" applyBorder="1" applyAlignment="1">
      <alignment horizontal="left" vertical="center"/>
    </xf>
    <xf numFmtId="164" fontId="20" fillId="6" borderId="2" xfId="0" applyNumberFormat="1" applyFont="1" applyFill="1" applyBorder="1" applyAlignment="1">
      <alignment horizontal="right" vertical="center"/>
    </xf>
    <xf numFmtId="0" fontId="4" fillId="16" borderId="2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left" vertical="center"/>
    </xf>
    <xf numFmtId="165" fontId="21" fillId="8" borderId="2" xfId="0" applyNumberFormat="1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left" vertical="center" wrapText="1"/>
    </xf>
    <xf numFmtId="165" fontId="5" fillId="7" borderId="2" xfId="0" applyNumberFormat="1" applyFont="1" applyFill="1" applyBorder="1" applyAlignment="1">
      <alignment horizontal="right" vertical="center"/>
    </xf>
    <xf numFmtId="0" fontId="21" fillId="6" borderId="2" xfId="0" applyFont="1" applyFill="1" applyBorder="1" applyAlignment="1">
      <alignment horizontal="left" vertical="center"/>
    </xf>
    <xf numFmtId="164" fontId="9" fillId="6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3" fillId="17" borderId="4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left" vertical="top" wrapText="1"/>
    </xf>
    <xf numFmtId="0" fontId="18" fillId="7" borderId="2" xfId="0" applyFont="1" applyFill="1" applyBorder="1" applyAlignment="1">
      <alignment horizontal="left" vertical="top" wrapText="1"/>
    </xf>
    <xf numFmtId="0" fontId="3" fillId="18" borderId="4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top" wrapText="1"/>
    </xf>
    <xf numFmtId="0" fontId="18" fillId="6" borderId="2" xfId="0" applyFont="1" applyFill="1" applyBorder="1" applyAlignment="1">
      <alignment horizontal="left" vertical="top" wrapText="1"/>
    </xf>
    <xf numFmtId="0" fontId="3" fillId="19" borderId="4" xfId="0" applyFont="1" applyFill="1" applyBorder="1" applyAlignment="1">
      <alignment horizontal="center" vertical="center" wrapText="1"/>
    </xf>
    <xf numFmtId="0" fontId="3" fillId="20" borderId="4" xfId="0" applyFont="1" applyFill="1" applyBorder="1" applyAlignment="1">
      <alignment horizontal="center" vertical="center" wrapText="1"/>
    </xf>
    <xf numFmtId="0" fontId="3" fillId="21" borderId="4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2" fillId="6" borderId="1" xfId="0" applyFont="1" applyFill="1" applyBorder="1" applyAlignment="1">
      <alignment horizontal="left" vertical="center"/>
    </xf>
    <xf numFmtId="167" fontId="21" fillId="8" borderId="2" xfId="0" applyNumberFormat="1" applyFont="1" applyFill="1" applyBorder="1" applyAlignment="1">
      <alignment horizontal="right" vertical="center"/>
    </xf>
    <xf numFmtId="167" fontId="21" fillId="0" borderId="2" xfId="0" applyNumberFormat="1" applyFont="1" applyBorder="1" applyAlignment="1">
      <alignment horizontal="right" vertical="center"/>
    </xf>
    <xf numFmtId="0" fontId="23" fillId="6" borderId="2" xfId="0" applyFont="1" applyFill="1" applyBorder="1" applyAlignment="1">
      <alignment horizontal="left" vertical="center"/>
    </xf>
    <xf numFmtId="167" fontId="23" fillId="0" borderId="2" xfId="0" applyNumberFormat="1" applyFont="1" applyBorder="1" applyAlignment="1">
      <alignment horizontal="right" vertical="center"/>
    </xf>
    <xf numFmtId="167" fontId="14" fillId="0" borderId="2" xfId="0" applyNumberFormat="1" applyFont="1" applyBorder="1" applyAlignment="1">
      <alignment horizontal="right" vertical="center"/>
    </xf>
    <xf numFmtId="167" fontId="9" fillId="0" borderId="2" xfId="0" applyNumberFormat="1" applyFont="1" applyBorder="1" applyAlignment="1">
      <alignment horizontal="right" vertical="center"/>
    </xf>
    <xf numFmtId="167" fontId="10" fillId="10" borderId="2" xfId="0" applyNumberFormat="1" applyFont="1" applyFill="1" applyBorder="1" applyAlignment="1">
      <alignment horizontal="right" vertical="center"/>
    </xf>
    <xf numFmtId="0" fontId="24" fillId="8" borderId="4" xfId="0" applyFont="1" applyFill="1" applyBorder="1" applyAlignment="1">
      <alignment horizontal="left" vertical="center"/>
    </xf>
    <xf numFmtId="175" fontId="25" fillId="8" borderId="4" xfId="0" applyNumberFormat="1" applyFont="1" applyFill="1" applyBorder="1" applyAlignment="1">
      <alignment horizontal="right" vertical="center"/>
    </xf>
    <xf numFmtId="0" fontId="25" fillId="8" borderId="4" xfId="0" applyFont="1" applyFill="1" applyBorder="1" applyAlignment="1">
      <alignment horizontal="right" vertical="center"/>
    </xf>
    <xf numFmtId="0" fontId="3" fillId="16" borderId="1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6" fillId="7" borderId="2" xfId="0" applyFont="1" applyFill="1" applyBorder="1" applyAlignment="1">
      <alignment horizontal="left" vertical="top" wrapText="1"/>
    </xf>
    <xf numFmtId="0" fontId="26" fillId="6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showGridLines="0" tabSelected="1" zoomScale="85" zoomScaleNormal="85" workbookViewId="0"/>
  </sheetViews>
  <sheetFormatPr defaultRowHeight="15"/>
  <cols>
    <col min="1" max="1" width="34.7109375" customWidth="1"/>
    <col min="2" max="6" width="13.7109375" customWidth="1"/>
    <col min="7" max="7" width="44.7109375" customWidth="1"/>
  </cols>
  <sheetData>
    <row r="1" spans="1:7" ht="22" customHeight="1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/>
      <c r="C2" s="2"/>
      <c r="D2" s="2"/>
      <c r="E2" s="2"/>
      <c r="F2" s="2"/>
      <c r="G2" s="2"/>
    </row>
    <row r="4" spans="1:7" ht="16" customHeight="1">
      <c r="A4" s="3" t="s">
        <v>2</v>
      </c>
      <c r="B4" s="3"/>
      <c r="C4" s="3"/>
      <c r="D4" s="3"/>
      <c r="E4" s="3"/>
      <c r="F4" s="3"/>
      <c r="G4" s="3"/>
    </row>
    <row r="5" spans="1:7" ht="14" customHeight="1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spans="1:7" ht="24" customHeight="1">
      <c r="A6" s="5" t="s">
        <v>10</v>
      </c>
      <c r="B6" s="6">
        <v>12000</v>
      </c>
      <c r="C6" s="6">
        <v>32000</v>
      </c>
      <c r="D6" s="6">
        <v>50000</v>
      </c>
      <c r="E6" s="6">
        <v>80000</v>
      </c>
      <c r="F6" s="6">
        <v>110000</v>
      </c>
      <c r="G6" s="7" t="s">
        <v>11</v>
      </c>
    </row>
    <row r="7" spans="1:7" ht="24" customHeight="1">
      <c r="A7" s="8" t="s">
        <v>12</v>
      </c>
      <c r="B7" s="9">
        <v>6.5</v>
      </c>
      <c r="C7" s="9">
        <v>6</v>
      </c>
      <c r="D7" s="9">
        <v>5.75</v>
      </c>
      <c r="E7" s="9">
        <v>5.5</v>
      </c>
      <c r="F7" s="9">
        <v>5.25</v>
      </c>
      <c r="G7" s="7" t="s">
        <v>13</v>
      </c>
    </row>
    <row r="8" spans="1:7" ht="24" customHeight="1">
      <c r="A8" s="5" t="s">
        <v>14</v>
      </c>
      <c r="B8" s="10">
        <v>1</v>
      </c>
      <c r="C8" s="10">
        <v>0.61</v>
      </c>
      <c r="D8" s="10">
        <v>0.61</v>
      </c>
      <c r="E8" s="10">
        <v>0.6</v>
      </c>
      <c r="F8" s="10">
        <v>0.58</v>
      </c>
      <c r="G8" s="7" t="s">
        <v>15</v>
      </c>
    </row>
    <row r="9" spans="1:7" ht="24" customHeight="1">
      <c r="A9" s="8" t="s">
        <v>16</v>
      </c>
      <c r="B9" s="6">
        <v>0</v>
      </c>
      <c r="C9" s="6">
        <v>7000</v>
      </c>
      <c r="D9" s="6">
        <v>18000</v>
      </c>
      <c r="E9" s="6">
        <v>35000</v>
      </c>
      <c r="F9" s="6">
        <v>55000</v>
      </c>
      <c r="G9" s="7" t="s">
        <v>17</v>
      </c>
    </row>
    <row r="10" spans="1:7" ht="24" customHeight="1">
      <c r="A10" s="5" t="s">
        <v>18</v>
      </c>
      <c r="B10" s="9">
        <v>2</v>
      </c>
      <c r="C10" s="9">
        <v>2</v>
      </c>
      <c r="D10" s="9">
        <v>2</v>
      </c>
      <c r="E10" s="9">
        <v>2</v>
      </c>
      <c r="F10" s="9">
        <v>2</v>
      </c>
      <c r="G10" s="7" t="s">
        <v>19</v>
      </c>
    </row>
    <row r="12" spans="1:7" ht="16" customHeight="1">
      <c r="A12" s="3" t="s">
        <v>20</v>
      </c>
      <c r="B12" s="3"/>
      <c r="C12" s="3"/>
      <c r="D12" s="3"/>
      <c r="E12" s="3"/>
      <c r="F12" s="3"/>
      <c r="G12" s="3"/>
    </row>
    <row r="13" spans="1:7" ht="14" customHeight="1">
      <c r="A13" s="4" t="s">
        <v>21</v>
      </c>
      <c r="B13" s="4" t="s">
        <v>4</v>
      </c>
      <c r="C13" s="4" t="s">
        <v>5</v>
      </c>
      <c r="D13" s="4" t="s">
        <v>6</v>
      </c>
      <c r="E13" s="4" t="s">
        <v>7</v>
      </c>
      <c r="F13" s="4" t="s">
        <v>8</v>
      </c>
      <c r="G13" s="4" t="s">
        <v>22</v>
      </c>
    </row>
    <row r="14" spans="1:7" ht="20" customHeight="1">
      <c r="A14" s="5" t="s">
        <v>23</v>
      </c>
      <c r="B14" s="11">
        <f>(B6/2)*B8*B7*12</f>
        <v>468000</v>
      </c>
      <c r="C14" s="11">
        <f>((B6+C6)/2)*C8*C7*12</f>
        <v>966240</v>
      </c>
      <c r="D14" s="11">
        <f>((C6+D6)/2)*D8*D7*12</f>
        <v>1725690</v>
      </c>
      <c r="E14" s="11">
        <f>((D6+E6)/2)*E8*E7*12</f>
        <v>2574000</v>
      </c>
      <c r="F14" s="11">
        <f>((E6+F6)/2)*F8*F7*12</f>
        <v>3471300</v>
      </c>
      <c r="G14" s="7" t="s">
        <v>24</v>
      </c>
    </row>
    <row r="15" spans="1:7" ht="20" customHeight="1">
      <c r="A15" s="8" t="s">
        <v>25</v>
      </c>
      <c r="B15" s="12">
        <v>138000</v>
      </c>
      <c r="C15" s="12">
        <v>706000</v>
      </c>
      <c r="D15" s="12">
        <v>1339000</v>
      </c>
      <c r="E15" s="12">
        <v>1772000</v>
      </c>
      <c r="F15" s="12">
        <v>1797000</v>
      </c>
      <c r="G15" s="7" t="s">
        <v>26</v>
      </c>
    </row>
    <row r="16" spans="1:7" ht="20" customHeight="1">
      <c r="A16" s="13" t="s">
        <v>27</v>
      </c>
      <c r="B16" s="14">
        <f>B14+B15</f>
        <v>606000</v>
      </c>
      <c r="C16" s="14">
        <f>C14+C15</f>
        <v>1672240</v>
      </c>
      <c r="D16" s="14">
        <f>D14+D15</f>
        <v>3064690</v>
      </c>
      <c r="E16" s="14">
        <f>E14+E15</f>
        <v>4346000</v>
      </c>
      <c r="F16" s="14">
        <f>F14+F15</f>
        <v>5268300</v>
      </c>
      <c r="G16" s="7"/>
    </row>
    <row r="18" spans="1:7" ht="16" customHeight="1">
      <c r="A18" s="3" t="s">
        <v>28</v>
      </c>
      <c r="B18" s="3"/>
      <c r="C18" s="3"/>
      <c r="D18" s="3"/>
      <c r="E18" s="3"/>
      <c r="F18" s="3"/>
      <c r="G18" s="3"/>
    </row>
    <row r="19" spans="1:7" ht="14" customHeight="1">
      <c r="A19" s="4" t="s">
        <v>29</v>
      </c>
      <c r="B19" s="4" t="s">
        <v>4</v>
      </c>
      <c r="C19" s="4" t="s">
        <v>5</v>
      </c>
      <c r="D19" s="4" t="s">
        <v>6</v>
      </c>
      <c r="E19" s="4" t="s">
        <v>7</v>
      </c>
      <c r="F19" s="4" t="s">
        <v>8</v>
      </c>
      <c r="G19" s="4" t="s">
        <v>30</v>
      </c>
    </row>
    <row r="20" spans="1:7" ht="30" customHeight="1">
      <c r="A20" s="5" t="s">
        <v>31</v>
      </c>
      <c r="B20" s="15">
        <f>'Opex Rationale'!B5</f>
        <v>446628</v>
      </c>
      <c r="C20" s="15">
        <f>'Opex Rationale'!C5</f>
        <v>635068</v>
      </c>
      <c r="D20" s="15">
        <f>'Opex Rationale'!D5</f>
        <v>794598</v>
      </c>
      <c r="E20" s="15">
        <f>'Opex Rationale'!E5</f>
        <v>1041101</v>
      </c>
      <c r="F20" s="15">
        <f>'Opex Rationale'!F5</f>
        <v>1270257</v>
      </c>
      <c r="G20" s="7" t="s">
        <v>32</v>
      </c>
    </row>
    <row r="21" spans="1:7" ht="30" customHeight="1">
      <c r="A21" s="8" t="s">
        <v>33</v>
      </c>
      <c r="B21" s="16">
        <f>'Opex Rationale'!B6</f>
        <v>186000</v>
      </c>
      <c r="C21" s="16">
        <f>'Opex Rationale'!C6</f>
        <v>291900</v>
      </c>
      <c r="D21" s="16">
        <f>'Opex Rationale'!D6</f>
        <v>390485</v>
      </c>
      <c r="E21" s="16">
        <f>'Opex Rationale'!E6</f>
        <v>612217</v>
      </c>
      <c r="F21" s="16">
        <f>'Opex Rationale'!F6</f>
        <v>677642</v>
      </c>
      <c r="G21" s="7" t="s">
        <v>34</v>
      </c>
    </row>
    <row r="22" spans="1:7" ht="30" customHeight="1">
      <c r="A22" s="5" t="s">
        <v>35</v>
      </c>
      <c r="B22" s="15">
        <f>'Opex Rationale'!B7</f>
        <v>45000</v>
      </c>
      <c r="C22" s="15">
        <f>'Opex Rationale'!C7</f>
        <v>97800</v>
      </c>
      <c r="D22" s="15">
        <f>'Opex Rationale'!D7</f>
        <v>135870</v>
      </c>
      <c r="E22" s="15">
        <f>'Opex Rationale'!E7</f>
        <v>174250</v>
      </c>
      <c r="F22" s="15">
        <f>'Opex Rationale'!F7</f>
        <v>212988</v>
      </c>
      <c r="G22" s="7" t="s">
        <v>36</v>
      </c>
    </row>
    <row r="23" spans="1:7" ht="30" customHeight="1">
      <c r="A23" s="8" t="s">
        <v>37</v>
      </c>
      <c r="B23" s="16">
        <f>'Opex Rationale'!B8</f>
        <v>134760</v>
      </c>
      <c r="C23" s="16">
        <f>'Opex Rationale'!C8</f>
        <v>184320</v>
      </c>
      <c r="D23" s="16">
        <f>'Opex Rationale'!D8</f>
        <v>212640</v>
      </c>
      <c r="E23" s="16">
        <f>'Opex Rationale'!E8</f>
        <v>304680</v>
      </c>
      <c r="F23" s="16">
        <f>'Opex Rationale'!F8</f>
        <v>333000</v>
      </c>
      <c r="G23" s="7" t="s">
        <v>38</v>
      </c>
    </row>
    <row r="24" spans="1:7" ht="30" customHeight="1">
      <c r="A24" s="5" t="s">
        <v>39</v>
      </c>
      <c r="B24" s="15">
        <f>'Opex Rationale'!B9</f>
        <v>87600</v>
      </c>
      <c r="C24" s="15">
        <f>'Opex Rationale'!C9</f>
        <v>95400</v>
      </c>
      <c r="D24" s="15">
        <f>'Opex Rationale'!D9</f>
        <v>104070</v>
      </c>
      <c r="E24" s="15">
        <f>'Opex Rationale'!E9</f>
        <v>113710</v>
      </c>
      <c r="F24" s="15">
        <f>'Opex Rationale'!F9</f>
        <v>124434</v>
      </c>
      <c r="G24" s="7" t="s">
        <v>40</v>
      </c>
    </row>
    <row r="25" spans="1:7" ht="20" customHeight="1">
      <c r="A25" s="13" t="s">
        <v>41</v>
      </c>
      <c r="B25" s="14">
        <f>'Opex Rationale'!B10</f>
        <v>899988</v>
      </c>
      <c r="C25" s="14">
        <f>'Opex Rationale'!C10</f>
        <v>1304488</v>
      </c>
      <c r="D25" s="14">
        <f>'Opex Rationale'!D10</f>
        <v>1637663</v>
      </c>
      <c r="E25" s="14">
        <f>'Opex Rationale'!E10</f>
        <v>2245958</v>
      </c>
      <c r="F25" s="14">
        <f>'Opex Rationale'!F10</f>
        <v>2618321</v>
      </c>
      <c r="G25" s="7" t="s">
        <v>42</v>
      </c>
    </row>
    <row r="27" spans="1:7" ht="16" customHeight="1">
      <c r="A27" s="3" t="s">
        <v>43</v>
      </c>
      <c r="B27" s="3"/>
      <c r="C27" s="3"/>
      <c r="D27" s="3"/>
      <c r="E27" s="3"/>
      <c r="F27" s="3"/>
      <c r="G27" s="3"/>
    </row>
    <row r="28" spans="1:7" ht="24" customHeight="1">
      <c r="A28" s="5" t="s">
        <v>44</v>
      </c>
      <c r="B28" s="17">
        <v>0.15</v>
      </c>
      <c r="C28" s="18"/>
      <c r="D28" s="18"/>
      <c r="E28" s="18"/>
      <c r="F28" s="18"/>
      <c r="G28" s="7" t="s">
        <v>45</v>
      </c>
    </row>
    <row r="29" spans="1:7" ht="24" customHeight="1">
      <c r="A29" s="8" t="s">
        <v>46</v>
      </c>
      <c r="B29" s="17">
        <v>0.15</v>
      </c>
      <c r="C29" s="8"/>
      <c r="D29" s="8"/>
      <c r="E29" s="8"/>
      <c r="F29" s="8"/>
      <c r="G29" s="7" t="s">
        <v>47</v>
      </c>
    </row>
  </sheetData>
  <mergeCells count="6">
    <mergeCell ref="A1:G1"/>
    <mergeCell ref="A2:G2"/>
    <mergeCell ref="A4:G4"/>
    <mergeCell ref="A12:G12"/>
    <mergeCell ref="A18:G18"/>
    <mergeCell ref="A27:G2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showGridLines="0" zoomScale="90" zoomScaleNormal="90" workbookViewId="0"/>
  </sheetViews>
  <sheetFormatPr defaultRowHeight="15"/>
  <cols>
    <col min="1" max="1" width="34.7109375" customWidth="1"/>
    <col min="2" max="6" width="13.7109375" customWidth="1"/>
    <col min="7" max="7" width="40.7109375" customWidth="1"/>
  </cols>
  <sheetData>
    <row r="1" spans="1:7" ht="22" customHeight="1">
      <c r="A1" s="1" t="s">
        <v>48</v>
      </c>
      <c r="B1" s="1"/>
      <c r="C1" s="1"/>
      <c r="D1" s="1"/>
      <c r="E1" s="1"/>
      <c r="F1" s="1"/>
      <c r="G1" s="1"/>
    </row>
    <row r="2" spans="1:7">
      <c r="A2" s="2" t="s">
        <v>49</v>
      </c>
      <c r="B2" s="2"/>
      <c r="C2" s="2"/>
      <c r="D2" s="2"/>
      <c r="E2" s="2"/>
      <c r="F2" s="2"/>
      <c r="G2" s="2"/>
    </row>
    <row r="4" spans="1:7" ht="14" customHeight="1">
      <c r="A4" s="19"/>
      <c r="B4" s="19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19" t="s">
        <v>9</v>
      </c>
    </row>
    <row r="5" spans="1:7">
      <c r="A5" s="20" t="s">
        <v>50</v>
      </c>
      <c r="B5" s="20"/>
      <c r="C5" s="20"/>
      <c r="D5" s="20"/>
      <c r="E5" s="20"/>
      <c r="F5" s="20"/>
      <c r="G5" s="20"/>
    </row>
    <row r="6" spans="1:7" ht="20" customHeight="1">
      <c r="A6" s="5" t="s">
        <v>23</v>
      </c>
      <c r="B6" s="11">
        <f>'Assumptions'!B14</f>
        <v>468000</v>
      </c>
      <c r="C6" s="11">
        <f>'Assumptions'!C14</f>
        <v>966240</v>
      </c>
      <c r="D6" s="11">
        <f>'Assumptions'!D14</f>
        <v>1725690</v>
      </c>
      <c r="E6" s="11">
        <f>'Assumptions'!E14</f>
        <v>2574000</v>
      </c>
      <c r="F6" s="11">
        <f>'Assumptions'!F14</f>
        <v>3471300</v>
      </c>
      <c r="G6" s="7" t="s">
        <v>51</v>
      </c>
    </row>
    <row r="7" spans="1:7" ht="20" customHeight="1">
      <c r="A7" s="8" t="s">
        <v>25</v>
      </c>
      <c r="B7" s="16">
        <f>'Assumptions'!B15</f>
        <v>138000</v>
      </c>
      <c r="C7" s="16">
        <f>'Assumptions'!C15</f>
        <v>706000</v>
      </c>
      <c r="D7" s="16">
        <f>'Assumptions'!D15</f>
        <v>1339000</v>
      </c>
      <c r="E7" s="16">
        <f>'Assumptions'!E15</f>
        <v>1772000</v>
      </c>
      <c r="F7" s="16">
        <f>'Assumptions'!F15</f>
        <v>1797000</v>
      </c>
      <c r="G7" s="21" t="s">
        <v>52</v>
      </c>
    </row>
    <row r="8" spans="1:7" ht="20" customHeight="1">
      <c r="A8" s="13" t="s">
        <v>27</v>
      </c>
      <c r="B8" s="14">
        <f>'Assumptions'!B16</f>
        <v>606000</v>
      </c>
      <c r="C8" s="14">
        <f>'Assumptions'!C16</f>
        <v>1672240</v>
      </c>
      <c r="D8" s="14">
        <f>'Assumptions'!D16</f>
        <v>3064690</v>
      </c>
      <c r="E8" s="14">
        <f>'Assumptions'!E16</f>
        <v>4346000</v>
      </c>
      <c r="F8" s="14">
        <f>'Assumptions'!F16</f>
        <v>5268300</v>
      </c>
      <c r="G8" s="22"/>
    </row>
    <row r="10" spans="1:7">
      <c r="A10" s="20" t="s">
        <v>53</v>
      </c>
      <c r="B10" s="20"/>
      <c r="C10" s="20"/>
      <c r="D10" s="20"/>
      <c r="E10" s="20"/>
      <c r="F10" s="20"/>
      <c r="G10" s="20"/>
    </row>
    <row r="11" spans="1:7">
      <c r="A11" s="18" t="s">
        <v>31</v>
      </c>
      <c r="B11" s="15">
        <f>'Opex Rationale'!B5</f>
        <v>446628</v>
      </c>
      <c r="C11" s="15">
        <f>'Opex Rationale'!C5</f>
        <v>635068</v>
      </c>
      <c r="D11" s="15">
        <f>'Opex Rationale'!D5</f>
        <v>794598</v>
      </c>
      <c r="E11" s="15">
        <f>'Opex Rationale'!E5</f>
        <v>1041101</v>
      </c>
      <c r="F11" s="15">
        <f>'Opex Rationale'!F5</f>
        <v>1270257</v>
      </c>
      <c r="G11" s="23" t="s">
        <v>32</v>
      </c>
    </row>
    <row r="12" spans="1:7">
      <c r="A12" s="8" t="s">
        <v>33</v>
      </c>
      <c r="B12" s="16">
        <f>'Opex Rationale'!B6</f>
        <v>186000</v>
      </c>
      <c r="C12" s="16">
        <f>'Opex Rationale'!C6</f>
        <v>291900</v>
      </c>
      <c r="D12" s="16">
        <f>'Opex Rationale'!D6</f>
        <v>390485</v>
      </c>
      <c r="E12" s="16">
        <f>'Opex Rationale'!E6</f>
        <v>612217</v>
      </c>
      <c r="F12" s="16">
        <f>'Opex Rationale'!F6</f>
        <v>677642</v>
      </c>
      <c r="G12" s="21" t="s">
        <v>34</v>
      </c>
    </row>
    <row r="13" spans="1:7">
      <c r="A13" s="18" t="s">
        <v>35</v>
      </c>
      <c r="B13" s="15">
        <f>'Opex Rationale'!B7</f>
        <v>45000</v>
      </c>
      <c r="C13" s="15">
        <f>'Opex Rationale'!C7</f>
        <v>97800</v>
      </c>
      <c r="D13" s="15">
        <f>'Opex Rationale'!D7</f>
        <v>135870</v>
      </c>
      <c r="E13" s="15">
        <f>'Opex Rationale'!E7</f>
        <v>174250</v>
      </c>
      <c r="F13" s="15">
        <f>'Opex Rationale'!F7</f>
        <v>212988</v>
      </c>
      <c r="G13" s="23" t="s">
        <v>36</v>
      </c>
    </row>
    <row r="14" spans="1:7">
      <c r="A14" s="8" t="s">
        <v>37</v>
      </c>
      <c r="B14" s="16">
        <f>'Opex Rationale'!B8</f>
        <v>134760</v>
      </c>
      <c r="C14" s="16">
        <f>'Opex Rationale'!C8</f>
        <v>184320</v>
      </c>
      <c r="D14" s="16">
        <f>'Opex Rationale'!D8</f>
        <v>212640</v>
      </c>
      <c r="E14" s="16">
        <f>'Opex Rationale'!E8</f>
        <v>304680</v>
      </c>
      <c r="F14" s="16">
        <f>'Opex Rationale'!F8</f>
        <v>333000</v>
      </c>
      <c r="G14" s="21" t="s">
        <v>38</v>
      </c>
    </row>
    <row r="15" spans="1:7">
      <c r="A15" s="18" t="s">
        <v>39</v>
      </c>
      <c r="B15" s="15">
        <f>'Opex Rationale'!B9</f>
        <v>87600</v>
      </c>
      <c r="C15" s="15">
        <f>'Opex Rationale'!C9</f>
        <v>95400</v>
      </c>
      <c r="D15" s="15">
        <f>'Opex Rationale'!D9</f>
        <v>104070</v>
      </c>
      <c r="E15" s="15">
        <f>'Opex Rationale'!E9</f>
        <v>113710</v>
      </c>
      <c r="F15" s="15">
        <f>'Opex Rationale'!F9</f>
        <v>124434</v>
      </c>
      <c r="G15" s="23" t="s">
        <v>40</v>
      </c>
    </row>
    <row r="16" spans="1:7" ht="20" customHeight="1">
      <c r="A16" s="24" t="s">
        <v>54</v>
      </c>
      <c r="B16" s="25">
        <f>'Opex Rationale'!B10</f>
        <v>899988</v>
      </c>
      <c r="C16" s="25">
        <f>'Opex Rationale'!C10</f>
        <v>1304488</v>
      </c>
      <c r="D16" s="25">
        <f>'Opex Rationale'!D10</f>
        <v>1637663</v>
      </c>
      <c r="E16" s="25">
        <f>'Opex Rationale'!E10</f>
        <v>2245958</v>
      </c>
      <c r="F16" s="25">
        <f>'Opex Rationale'!F10</f>
        <v>2618321</v>
      </c>
      <c r="G16" s="26"/>
    </row>
    <row r="18" spans="1:7" ht="20" customHeight="1">
      <c r="A18" s="27" t="s">
        <v>55</v>
      </c>
      <c r="B18" s="28">
        <f>B8-B16</f>
        <v>-293988</v>
      </c>
      <c r="C18" s="29">
        <f>C8-C16</f>
        <v>367752</v>
      </c>
      <c r="D18" s="29">
        <f>D8-D16</f>
        <v>1427027</v>
      </c>
      <c r="E18" s="29">
        <f>E8-E16</f>
        <v>2100042</v>
      </c>
      <c r="F18" s="29">
        <f>F8-F16</f>
        <v>2649979</v>
      </c>
      <c r="G18" s="7" t="s">
        <v>56</v>
      </c>
    </row>
    <row r="19" spans="1:7">
      <c r="A19" s="8" t="s">
        <v>57</v>
      </c>
      <c r="B19" s="16">
        <v>-293988</v>
      </c>
      <c r="C19" s="16">
        <v>73764</v>
      </c>
      <c r="D19" s="16">
        <v>1500791</v>
      </c>
      <c r="E19" s="16">
        <v>3600833</v>
      </c>
      <c r="F19" s="16">
        <v>6250812</v>
      </c>
      <c r="G19" s="21" t="s">
        <v>58</v>
      </c>
    </row>
    <row r="21" spans="1:7">
      <c r="A21" s="30" t="s">
        <v>59</v>
      </c>
      <c r="B21" s="30"/>
      <c r="C21" s="30"/>
      <c r="D21" s="30"/>
      <c r="E21" s="30"/>
      <c r="F21" s="30"/>
      <c r="G21" s="30"/>
    </row>
    <row r="22" spans="1:7">
      <c r="A22" s="18" t="s">
        <v>60</v>
      </c>
      <c r="B22" s="15">
        <v>134998</v>
      </c>
      <c r="C22" s="15">
        <v>195673</v>
      </c>
      <c r="D22" s="15">
        <v>245649</v>
      </c>
      <c r="E22" s="15">
        <v>336894</v>
      </c>
      <c r="F22" s="15">
        <v>392748</v>
      </c>
      <c r="G22" s="23" t="s">
        <v>61</v>
      </c>
    </row>
    <row r="23" spans="1:7">
      <c r="A23" s="8" t="s">
        <v>62</v>
      </c>
      <c r="B23" s="16">
        <v>0</v>
      </c>
      <c r="C23" s="16">
        <v>55163</v>
      </c>
      <c r="D23" s="16">
        <v>214054</v>
      </c>
      <c r="E23" s="16">
        <v>315006</v>
      </c>
      <c r="F23" s="16">
        <v>397497</v>
      </c>
      <c r="G23" s="21" t="s">
        <v>63</v>
      </c>
    </row>
    <row r="24" spans="1:7">
      <c r="A24" s="24" t="s">
        <v>64</v>
      </c>
      <c r="B24" s="25">
        <v>134998</v>
      </c>
      <c r="C24" s="25">
        <v>250836</v>
      </c>
      <c r="D24" s="25">
        <v>459703</v>
      </c>
      <c r="E24" s="25">
        <v>651900</v>
      </c>
      <c r="F24" s="25">
        <v>790245</v>
      </c>
      <c r="G24" s="31" t="s">
        <v>65</v>
      </c>
    </row>
    <row r="26" spans="1:7">
      <c r="A26" s="13" t="s">
        <v>66</v>
      </c>
      <c r="B26" s="14">
        <v>-428986</v>
      </c>
      <c r="C26" s="14">
        <v>116916</v>
      </c>
      <c r="D26" s="14">
        <v>967324</v>
      </c>
      <c r="E26" s="14">
        <v>1448142</v>
      </c>
      <c r="F26" s="14">
        <v>1859734</v>
      </c>
      <c r="G26" s="32" t="s">
        <v>67</v>
      </c>
    </row>
    <row r="27" spans="1:7">
      <c r="A27" s="8" t="s">
        <v>68</v>
      </c>
      <c r="B27" s="16">
        <v>-428986</v>
      </c>
      <c r="C27" s="16">
        <v>-312070</v>
      </c>
      <c r="D27" s="16">
        <v>655254</v>
      </c>
      <c r="E27" s="16">
        <v>2103396</v>
      </c>
      <c r="F27" s="16">
        <v>3963130</v>
      </c>
      <c r="G27" s="21" t="s">
        <v>69</v>
      </c>
    </row>
    <row r="29" spans="1:7">
      <c r="A29" s="20" t="s">
        <v>70</v>
      </c>
      <c r="B29" s="20"/>
      <c r="C29" s="20"/>
      <c r="D29" s="20"/>
      <c r="E29" s="20"/>
      <c r="F29" s="20"/>
      <c r="G29" s="20"/>
    </row>
    <row r="30" spans="1:7">
      <c r="A30" s="18" t="s">
        <v>71</v>
      </c>
      <c r="B30" s="33">
        <v>12000</v>
      </c>
      <c r="C30" s="33">
        <v>39000</v>
      </c>
      <c r="D30" s="33">
        <v>68000</v>
      </c>
      <c r="E30" s="33">
        <v>115000</v>
      </c>
      <c r="F30" s="33">
        <v>165000</v>
      </c>
      <c r="G30" s="23"/>
    </row>
    <row r="31" spans="1:7">
      <c r="A31" s="8" t="s">
        <v>72</v>
      </c>
      <c r="B31" s="34">
        <v>8.42</v>
      </c>
      <c r="C31" s="34">
        <v>8.24</v>
      </c>
      <c r="D31" s="34">
        <v>6.81</v>
      </c>
      <c r="E31" s="34">
        <v>5.53</v>
      </c>
      <c r="F31" s="34">
        <v>4.39</v>
      </c>
      <c r="G31" s="21" t="s">
        <v>73</v>
      </c>
    </row>
    <row r="32" spans="1:7">
      <c r="A32" s="18" t="s">
        <v>74</v>
      </c>
      <c r="B32" s="35">
        <v>22.3</v>
      </c>
      <c r="C32" s="35">
        <v>15</v>
      </c>
      <c r="D32" s="35">
        <v>15</v>
      </c>
      <c r="E32" s="35">
        <v>15</v>
      </c>
      <c r="F32" s="35">
        <v>15</v>
      </c>
      <c r="G32" s="23"/>
    </row>
    <row r="33" spans="1:7">
      <c r="A33" s="8" t="s">
        <v>75</v>
      </c>
      <c r="B33" s="36">
        <v>148.5</v>
      </c>
      <c r="C33" s="36">
        <v>78</v>
      </c>
      <c r="D33" s="36">
        <v>53.4</v>
      </c>
      <c r="E33" s="36">
        <v>51.7</v>
      </c>
      <c r="F33" s="36">
        <v>49.7</v>
      </c>
      <c r="G33" s="21" t="s">
        <v>76</v>
      </c>
    </row>
  </sheetData>
  <mergeCells count="6">
    <mergeCell ref="A1:G1"/>
    <mergeCell ref="A2:G2"/>
    <mergeCell ref="A5:G5"/>
    <mergeCell ref="A10:G10"/>
    <mergeCell ref="A21:G21"/>
    <mergeCell ref="A29:G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43"/>
  <sheetViews>
    <sheetView showGridLines="0" zoomScale="85" zoomScaleNormal="85" workbookViewId="0"/>
  </sheetViews>
  <sheetFormatPr defaultRowHeight="15"/>
  <cols>
    <col min="1" max="1" width="34.7109375" customWidth="1"/>
    <col min="2" max="6" width="12.7109375" customWidth="1"/>
    <col min="7" max="7" width="44.7109375" customWidth="1"/>
  </cols>
  <sheetData>
    <row r="1" spans="1:7" ht="20" customHeight="1">
      <c r="A1" s="37" t="s">
        <v>77</v>
      </c>
      <c r="B1" s="37"/>
      <c r="C1" s="37"/>
      <c r="D1" s="37"/>
      <c r="E1" s="37"/>
      <c r="F1" s="37"/>
      <c r="G1" s="37"/>
    </row>
    <row r="3" spans="1:7" ht="16" customHeight="1">
      <c r="A3" s="3" t="s">
        <v>78</v>
      </c>
      <c r="B3" s="3"/>
      <c r="C3" s="3"/>
      <c r="D3" s="3"/>
      <c r="E3" s="3"/>
      <c r="F3" s="3"/>
      <c r="G3" s="3"/>
    </row>
    <row r="4" spans="1:7" ht="14" customHeight="1">
      <c r="A4" s="4" t="s">
        <v>79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80</v>
      </c>
    </row>
    <row r="5" spans="1:7" ht="52" customHeight="1">
      <c r="A5" s="18" t="s">
        <v>31</v>
      </c>
      <c r="B5" s="15">
        <f>B87</f>
        <v>446628</v>
      </c>
      <c r="C5" s="15">
        <f>C87</f>
        <v>635068</v>
      </c>
      <c r="D5" s="15">
        <f>D87</f>
        <v>794598</v>
      </c>
      <c r="E5" s="15">
        <f>E87</f>
        <v>1041101</v>
      </c>
      <c r="F5" s="15">
        <f>F87</f>
        <v>1270257</v>
      </c>
      <c r="G5" s="23" t="s">
        <v>81</v>
      </c>
    </row>
    <row r="6" spans="1:7" ht="52" customHeight="1">
      <c r="A6" s="8" t="s">
        <v>33</v>
      </c>
      <c r="B6" s="16">
        <f>B112</f>
        <v>186000</v>
      </c>
      <c r="C6" s="16">
        <f>C112</f>
        <v>291900</v>
      </c>
      <c r="D6" s="16">
        <f>D112</f>
        <v>390485</v>
      </c>
      <c r="E6" s="16">
        <f>E112</f>
        <v>612217</v>
      </c>
      <c r="F6" s="16">
        <f>F112</f>
        <v>677642</v>
      </c>
      <c r="G6" s="21" t="s">
        <v>82</v>
      </c>
    </row>
    <row r="7" spans="1:7" ht="52" customHeight="1">
      <c r="A7" s="18" t="s">
        <v>35</v>
      </c>
      <c r="B7" s="15">
        <f>B143</f>
        <v>45000</v>
      </c>
      <c r="C7" s="15">
        <f>C143</f>
        <v>97800</v>
      </c>
      <c r="D7" s="15">
        <f>D143</f>
        <v>135870</v>
      </c>
      <c r="E7" s="15">
        <f>E143</f>
        <v>174250</v>
      </c>
      <c r="F7" s="15">
        <f>F143</f>
        <v>212988</v>
      </c>
      <c r="G7" s="23" t="s">
        <v>83</v>
      </c>
    </row>
    <row r="8" spans="1:7" ht="52" customHeight="1">
      <c r="A8" s="8" t="s">
        <v>37</v>
      </c>
      <c r="B8" s="16">
        <f>B122</f>
        <v>134760</v>
      </c>
      <c r="C8" s="16">
        <f>C122</f>
        <v>184320</v>
      </c>
      <c r="D8" s="16">
        <f>D122</f>
        <v>212640</v>
      </c>
      <c r="E8" s="16">
        <f>E122</f>
        <v>304680</v>
      </c>
      <c r="F8" s="16">
        <f>F122</f>
        <v>333000</v>
      </c>
      <c r="G8" s="21" t="s">
        <v>84</v>
      </c>
    </row>
    <row r="9" spans="1:7" ht="52" customHeight="1">
      <c r="A9" s="18" t="s">
        <v>39</v>
      </c>
      <c r="B9" s="15">
        <f>B134</f>
        <v>87600</v>
      </c>
      <c r="C9" s="15">
        <f>C134</f>
        <v>95400</v>
      </c>
      <c r="D9" s="15">
        <f>D134</f>
        <v>104070</v>
      </c>
      <c r="E9" s="15">
        <f>E134</f>
        <v>113710</v>
      </c>
      <c r="F9" s="15">
        <f>F134</f>
        <v>124434</v>
      </c>
      <c r="G9" s="23" t="s">
        <v>85</v>
      </c>
    </row>
    <row r="10" spans="1:7" ht="20" customHeight="1">
      <c r="A10" s="13" t="s">
        <v>41</v>
      </c>
      <c r="B10" s="14">
        <f>SUM(B5:B9)</f>
        <v>899988</v>
      </c>
      <c r="C10" s="14">
        <f>SUM(C5:C9)</f>
        <v>1304488</v>
      </c>
      <c r="D10" s="14">
        <f>SUM(D5:D9)</f>
        <v>1637663</v>
      </c>
      <c r="E10" s="14">
        <f>SUM(E5:E9)</f>
        <v>2245958</v>
      </c>
      <c r="F10" s="14">
        <f>SUM(F5:F9)</f>
        <v>2618321</v>
      </c>
      <c r="G10" s="38" t="s">
        <v>86</v>
      </c>
    </row>
    <row r="12" spans="1:7" ht="16" customHeight="1">
      <c r="A12" s="3" t="s">
        <v>87</v>
      </c>
      <c r="B12" s="3"/>
      <c r="C12" s="3"/>
      <c r="D12" s="3"/>
      <c r="E12" s="3"/>
      <c r="F12" s="3"/>
      <c r="G12" s="3"/>
    </row>
    <row r="13" spans="1:7">
      <c r="A13" s="2" t="s">
        <v>88</v>
      </c>
      <c r="B13" s="2"/>
      <c r="C13" s="2"/>
      <c r="D13" s="2"/>
      <c r="E13" s="2"/>
      <c r="F13" s="2"/>
      <c r="G13" s="2"/>
    </row>
    <row r="14" spans="1:7" ht="14" customHeight="1">
      <c r="A14" s="39" t="s">
        <v>89</v>
      </c>
      <c r="B14" s="39"/>
      <c r="C14" s="39"/>
      <c r="D14" s="39"/>
      <c r="E14" s="39"/>
      <c r="F14" s="39"/>
      <c r="G14" s="39"/>
    </row>
    <row r="15" spans="1:7" ht="20" customHeight="1">
      <c r="A15" s="18" t="s">
        <v>90</v>
      </c>
      <c r="B15" s="40">
        <v>0.01</v>
      </c>
      <c r="C15" s="41"/>
      <c r="D15" s="41"/>
      <c r="E15" s="41"/>
      <c r="F15" s="41"/>
      <c r="G15" s="7" t="s">
        <v>91</v>
      </c>
    </row>
    <row r="16" spans="1:7" ht="20" customHeight="1">
      <c r="A16" s="8" t="s">
        <v>92</v>
      </c>
      <c r="B16" s="12">
        <v>1350</v>
      </c>
      <c r="C16" s="41"/>
      <c r="D16" s="41"/>
      <c r="E16" s="41"/>
      <c r="F16" s="41"/>
      <c r="G16" s="7" t="s">
        <v>93</v>
      </c>
    </row>
    <row r="17" spans="1:7" ht="20" customHeight="1">
      <c r="A17" s="18" t="s">
        <v>94</v>
      </c>
      <c r="B17" s="12">
        <v>1800</v>
      </c>
      <c r="C17" s="41"/>
      <c r="D17" s="41"/>
      <c r="E17" s="41"/>
      <c r="F17" s="41"/>
      <c r="G17" s="7" t="s">
        <v>95</v>
      </c>
    </row>
    <row r="18" spans="1:7" ht="20" customHeight="1">
      <c r="A18" s="8" t="s">
        <v>96</v>
      </c>
      <c r="B18" s="12">
        <v>4</v>
      </c>
      <c r="C18" s="41"/>
      <c r="D18" s="41"/>
      <c r="E18" s="41"/>
      <c r="F18" s="41"/>
      <c r="G18" s="7" t="s">
        <v>97</v>
      </c>
    </row>
    <row r="19" spans="1:7" ht="20" customHeight="1">
      <c r="A19" s="18" t="s">
        <v>98</v>
      </c>
      <c r="B19" s="12">
        <v>8300</v>
      </c>
      <c r="C19" s="41"/>
      <c r="D19" s="41"/>
      <c r="E19" s="41"/>
      <c r="F19" s="41"/>
      <c r="G19" s="7" t="s">
        <v>99</v>
      </c>
    </row>
    <row r="20" spans="1:7" ht="20" customHeight="1">
      <c r="A20" s="8" t="s">
        <v>100</v>
      </c>
      <c r="B20" s="42">
        <v>0.16</v>
      </c>
      <c r="C20" s="41"/>
      <c r="D20" s="41"/>
      <c r="E20" s="41"/>
      <c r="F20" s="41"/>
      <c r="G20" s="7" t="s">
        <v>101</v>
      </c>
    </row>
    <row r="21" spans="1:7" ht="20" customHeight="1">
      <c r="A21" s="18" t="s">
        <v>102</v>
      </c>
      <c r="B21" s="12">
        <v>750</v>
      </c>
      <c r="C21" s="41"/>
      <c r="D21" s="41"/>
      <c r="E21" s="41"/>
      <c r="F21" s="41"/>
      <c r="G21" s="7" t="s">
        <v>103</v>
      </c>
    </row>
    <row r="22" spans="1:7" ht="20" customHeight="1">
      <c r="A22" s="8" t="s">
        <v>104</v>
      </c>
      <c r="B22" s="12">
        <v>3500</v>
      </c>
      <c r="C22" s="41"/>
      <c r="D22" s="41"/>
      <c r="E22" s="41"/>
      <c r="F22" s="41"/>
      <c r="G22" s="7" t="s">
        <v>105</v>
      </c>
    </row>
    <row r="23" spans="1:7" ht="20" customHeight="1">
      <c r="A23" s="18" t="s">
        <v>106</v>
      </c>
      <c r="B23" s="12">
        <v>2500</v>
      </c>
      <c r="C23" s="41"/>
      <c r="D23" s="41"/>
      <c r="E23" s="41"/>
      <c r="F23" s="41"/>
      <c r="G23" s="7" t="s">
        <v>107</v>
      </c>
    </row>
    <row r="24" spans="1:7" ht="20" customHeight="1">
      <c r="A24" s="8" t="s">
        <v>108</v>
      </c>
      <c r="B24" s="12">
        <v>1750</v>
      </c>
      <c r="C24" s="41"/>
      <c r="D24" s="41"/>
      <c r="E24" s="41"/>
      <c r="F24" s="41"/>
      <c r="G24" s="7" t="s">
        <v>109</v>
      </c>
    </row>
    <row r="25" spans="1:7" ht="20" customHeight="1">
      <c r="A25" s="18" t="s">
        <v>110</v>
      </c>
      <c r="B25" s="42">
        <v>0.45</v>
      </c>
      <c r="C25" s="41"/>
      <c r="D25" s="41"/>
      <c r="E25" s="41"/>
      <c r="F25" s="41"/>
      <c r="G25" s="7" t="s">
        <v>111</v>
      </c>
    </row>
    <row r="26" spans="1:7" ht="20" customHeight="1">
      <c r="A26" s="8" t="s">
        <v>112</v>
      </c>
      <c r="B26" s="12">
        <v>350</v>
      </c>
      <c r="C26" s="41"/>
      <c r="D26" s="41"/>
      <c r="E26" s="41"/>
      <c r="F26" s="41"/>
      <c r="G26" s="7" t="s">
        <v>113</v>
      </c>
    </row>
    <row r="27" spans="1:7" ht="20" customHeight="1">
      <c r="A27" s="18" t="s">
        <v>114</v>
      </c>
      <c r="B27" s="12">
        <v>290</v>
      </c>
      <c r="C27" s="41"/>
      <c r="D27" s="41"/>
      <c r="E27" s="41"/>
      <c r="F27" s="41"/>
      <c r="G27" s="7" t="s">
        <v>115</v>
      </c>
    </row>
    <row r="28" spans="1:7" ht="20" customHeight="1">
      <c r="A28" s="8" t="s">
        <v>116</v>
      </c>
      <c r="B28" s="6">
        <v>155</v>
      </c>
      <c r="C28" s="6">
        <v>250</v>
      </c>
      <c r="D28" s="6">
        <v>310</v>
      </c>
      <c r="E28" s="6">
        <v>415</v>
      </c>
      <c r="F28" s="6">
        <v>520</v>
      </c>
      <c r="G28" s="7" t="s">
        <v>117</v>
      </c>
    </row>
    <row r="29" spans="1:7" ht="20" customHeight="1">
      <c r="A29" s="18" t="s">
        <v>118</v>
      </c>
      <c r="B29" s="12">
        <v>150</v>
      </c>
      <c r="C29" s="41"/>
      <c r="D29" s="41"/>
      <c r="E29" s="41"/>
      <c r="F29" s="41"/>
      <c r="G29" s="7" t="s">
        <v>119</v>
      </c>
    </row>
    <row r="30" spans="1:7" ht="20" customHeight="1">
      <c r="A30" s="8" t="s">
        <v>120</v>
      </c>
      <c r="B30" s="6">
        <v>265</v>
      </c>
      <c r="C30" s="6">
        <v>365</v>
      </c>
      <c r="D30" s="6">
        <v>430</v>
      </c>
      <c r="E30" s="6">
        <v>535</v>
      </c>
      <c r="F30" s="6">
        <v>635</v>
      </c>
      <c r="G30" s="7" t="s">
        <v>121</v>
      </c>
    </row>
    <row r="31" spans="1:7" ht="20" customHeight="1">
      <c r="A31" s="18" t="s">
        <v>122</v>
      </c>
      <c r="B31" s="12">
        <v>2200</v>
      </c>
      <c r="C31" s="41"/>
      <c r="D31" s="41"/>
      <c r="E31" s="41"/>
      <c r="F31" s="41"/>
      <c r="G31" s="7" t="s">
        <v>123</v>
      </c>
    </row>
    <row r="32" spans="1:7" ht="20" customHeight="1">
      <c r="A32" s="8" t="s">
        <v>124</v>
      </c>
      <c r="B32" s="6">
        <v>50</v>
      </c>
      <c r="C32" s="6">
        <v>90</v>
      </c>
      <c r="D32" s="6">
        <v>120</v>
      </c>
      <c r="E32" s="6">
        <v>170</v>
      </c>
      <c r="F32" s="6">
        <v>205</v>
      </c>
      <c r="G32" s="7" t="s">
        <v>125</v>
      </c>
    </row>
    <row r="33" spans="1:7" ht="14" customHeight="1">
      <c r="A33" s="39" t="s">
        <v>126</v>
      </c>
      <c r="B33" s="39"/>
      <c r="C33" s="39"/>
      <c r="D33" s="39"/>
      <c r="E33" s="39"/>
      <c r="F33" s="39"/>
      <c r="G33" s="39"/>
    </row>
    <row r="34" spans="1:7" ht="20" customHeight="1">
      <c r="A34" s="8" t="s">
        <v>127</v>
      </c>
      <c r="B34" s="40">
        <v>8</v>
      </c>
      <c r="C34" s="41"/>
      <c r="D34" s="41"/>
      <c r="E34" s="41"/>
      <c r="F34" s="41"/>
      <c r="G34" s="7" t="s">
        <v>128</v>
      </c>
    </row>
    <row r="35" spans="1:7" ht="20" customHeight="1">
      <c r="A35" s="18" t="s">
        <v>129</v>
      </c>
      <c r="B35" s="40">
        <v>2.5</v>
      </c>
      <c r="C35" s="41"/>
      <c r="D35" s="41"/>
      <c r="E35" s="41"/>
      <c r="F35" s="41"/>
      <c r="G35" s="7" t="s">
        <v>130</v>
      </c>
    </row>
    <row r="36" spans="1:7" ht="14" customHeight="1">
      <c r="A36" s="39" t="s">
        <v>131</v>
      </c>
      <c r="B36" s="39"/>
      <c r="C36" s="39"/>
      <c r="D36" s="39"/>
      <c r="E36" s="39"/>
      <c r="F36" s="39"/>
      <c r="G36" s="39"/>
    </row>
    <row r="37" spans="1:7" ht="20" customHeight="1">
      <c r="A37" s="18" t="s">
        <v>132</v>
      </c>
      <c r="B37" s="6">
        <v>252</v>
      </c>
      <c r="C37" s="41"/>
      <c r="D37" s="41"/>
      <c r="E37" s="41"/>
      <c r="F37" s="41"/>
      <c r="G37" s="7" t="s">
        <v>133</v>
      </c>
    </row>
    <row r="38" spans="1:7" ht="20" customHeight="1">
      <c r="A38" s="8" t="s">
        <v>134</v>
      </c>
      <c r="B38" s="6">
        <v>20</v>
      </c>
      <c r="C38" s="41"/>
      <c r="D38" s="41"/>
      <c r="E38" s="41"/>
      <c r="F38" s="41"/>
      <c r="G38" s="7" t="s">
        <v>135</v>
      </c>
    </row>
    <row r="40" spans="1:7" ht="14" customHeight="1">
      <c r="A40" s="39" t="s">
        <v>136</v>
      </c>
      <c r="B40" s="39"/>
      <c r="C40" s="39"/>
      <c r="D40" s="39"/>
      <c r="E40" s="39"/>
      <c r="F40" s="39"/>
      <c r="G40" s="39"/>
    </row>
    <row r="41" spans="1:7" ht="20" customHeight="1">
      <c r="A41" s="18" t="s">
        <v>137</v>
      </c>
      <c r="B41" s="40">
        <v>7.5</v>
      </c>
      <c r="C41" s="40">
        <v>7.5</v>
      </c>
      <c r="D41" s="40">
        <v>10</v>
      </c>
      <c r="E41" s="40">
        <v>12</v>
      </c>
      <c r="F41" s="40">
        <v>14</v>
      </c>
      <c r="G41" s="7" t="s">
        <v>138</v>
      </c>
    </row>
    <row r="42" spans="1:7" ht="20" customHeight="1">
      <c r="A42" s="8" t="s">
        <v>139</v>
      </c>
      <c r="B42" s="12">
        <v>3000</v>
      </c>
      <c r="C42" s="41"/>
      <c r="D42" s="41"/>
      <c r="E42" s="41"/>
      <c r="F42" s="41"/>
      <c r="G42" s="7" t="s">
        <v>140</v>
      </c>
    </row>
    <row r="43" spans="1:7" ht="20" customHeight="1">
      <c r="A43" s="18" t="s">
        <v>141</v>
      </c>
      <c r="B43" s="12">
        <v>1500</v>
      </c>
      <c r="C43" s="41"/>
      <c r="D43" s="41"/>
      <c r="E43" s="41"/>
      <c r="F43" s="41"/>
      <c r="G43" s="7" t="s">
        <v>142</v>
      </c>
    </row>
    <row r="44" spans="1:7" ht="20" customHeight="1">
      <c r="A44" s="8" t="s">
        <v>143</v>
      </c>
      <c r="B44" s="12">
        <v>12000</v>
      </c>
      <c r="C44" s="41"/>
      <c r="D44" s="41"/>
      <c r="E44" s="41"/>
      <c r="F44" s="41"/>
      <c r="G44" s="7" t="s">
        <v>144</v>
      </c>
    </row>
    <row r="45" spans="1:7" ht="20" customHeight="1">
      <c r="A45" s="18" t="s">
        <v>145</v>
      </c>
      <c r="B45" s="12">
        <v>1500</v>
      </c>
      <c r="C45" s="41"/>
      <c r="D45" s="41"/>
      <c r="E45" s="41"/>
      <c r="F45" s="41"/>
      <c r="G45" s="7" t="s">
        <v>146</v>
      </c>
    </row>
    <row r="46" spans="1:7" ht="20" customHeight="1">
      <c r="A46" s="8" t="s">
        <v>147</v>
      </c>
      <c r="B46" s="12">
        <v>1000</v>
      </c>
      <c r="C46" s="41"/>
      <c r="D46" s="41"/>
      <c r="E46" s="41"/>
      <c r="F46" s="41"/>
      <c r="G46" s="7" t="s">
        <v>148</v>
      </c>
    </row>
    <row r="47" spans="1:7" ht="20" customHeight="1">
      <c r="A47" s="18" t="s">
        <v>149</v>
      </c>
      <c r="B47" s="12">
        <v>0</v>
      </c>
      <c r="C47" s="12">
        <v>30000</v>
      </c>
      <c r="D47" s="12">
        <v>80000</v>
      </c>
      <c r="E47" s="12">
        <v>100000</v>
      </c>
      <c r="F47" s="12">
        <v>80000</v>
      </c>
      <c r="G47" s="7" t="s">
        <v>150</v>
      </c>
    </row>
    <row r="49" spans="1:7" ht="14" customHeight="1">
      <c r="A49" s="39" t="s">
        <v>151</v>
      </c>
      <c r="B49" s="39"/>
      <c r="C49" s="39"/>
      <c r="D49" s="39"/>
      <c r="E49" s="39"/>
      <c r="F49" s="39"/>
      <c r="G49" s="39"/>
    </row>
    <row r="50" spans="1:7" ht="20" customHeight="1">
      <c r="A50" s="8" t="s">
        <v>152</v>
      </c>
      <c r="B50" s="12">
        <v>42000</v>
      </c>
      <c r="C50" s="41"/>
      <c r="D50" s="41"/>
      <c r="E50" s="41"/>
      <c r="F50" s="41"/>
      <c r="G50" s="7" t="s">
        <v>153</v>
      </c>
    </row>
    <row r="51" spans="1:7" ht="20" customHeight="1">
      <c r="A51" s="18" t="s">
        <v>154</v>
      </c>
      <c r="B51" s="12">
        <v>24000</v>
      </c>
      <c r="C51" s="41"/>
      <c r="D51" s="41"/>
      <c r="E51" s="41"/>
      <c r="F51" s="41"/>
      <c r="G51" s="7" t="s">
        <v>155</v>
      </c>
    </row>
    <row r="52" spans="1:7" ht="20" customHeight="1">
      <c r="A52" s="8" t="s">
        <v>156</v>
      </c>
      <c r="B52" s="12">
        <v>36000</v>
      </c>
      <c r="C52" s="41"/>
      <c r="D52" s="41"/>
      <c r="E52" s="41"/>
      <c r="F52" s="41"/>
      <c r="G52" s="7" t="s">
        <v>157</v>
      </c>
    </row>
    <row r="53" spans="1:7" ht="20" customHeight="1">
      <c r="A53" s="18" t="s">
        <v>158</v>
      </c>
      <c r="B53" s="40">
        <v>1.18</v>
      </c>
      <c r="C53" s="41"/>
      <c r="D53" s="41"/>
      <c r="E53" s="41"/>
      <c r="F53" s="41"/>
      <c r="G53" s="7" t="s">
        <v>159</v>
      </c>
    </row>
    <row r="54" spans="1:7" ht="20" customHeight="1">
      <c r="A54" s="8" t="s">
        <v>160</v>
      </c>
      <c r="B54" s="12">
        <v>1200</v>
      </c>
      <c r="C54" s="41"/>
      <c r="D54" s="41"/>
      <c r="E54" s="41"/>
      <c r="F54" s="41"/>
      <c r="G54" s="7" t="s">
        <v>161</v>
      </c>
    </row>
    <row r="55" spans="1:7" ht="20" customHeight="1">
      <c r="A55" s="18" t="s">
        <v>162</v>
      </c>
      <c r="B55" s="6">
        <v>1</v>
      </c>
      <c r="C55" s="6">
        <v>2</v>
      </c>
      <c r="D55" s="6">
        <v>2</v>
      </c>
      <c r="E55" s="6">
        <v>3</v>
      </c>
      <c r="F55" s="6">
        <v>3</v>
      </c>
      <c r="G55" s="7" t="s">
        <v>163</v>
      </c>
    </row>
    <row r="56" spans="1:7" ht="20" customHeight="1">
      <c r="A56" s="8" t="s">
        <v>164</v>
      </c>
      <c r="B56" s="6">
        <v>1</v>
      </c>
      <c r="C56" s="6">
        <v>1</v>
      </c>
      <c r="D56" s="6">
        <v>2</v>
      </c>
      <c r="E56" s="6">
        <v>2</v>
      </c>
      <c r="F56" s="6">
        <v>3</v>
      </c>
      <c r="G56" s="7" t="s">
        <v>165</v>
      </c>
    </row>
    <row r="57" spans="1:7" ht="20" customHeight="1">
      <c r="A57" s="18" t="s">
        <v>166</v>
      </c>
      <c r="B57" s="6">
        <v>1</v>
      </c>
      <c r="C57" s="6">
        <v>1</v>
      </c>
      <c r="D57" s="6">
        <v>1</v>
      </c>
      <c r="E57" s="6">
        <v>2</v>
      </c>
      <c r="F57" s="6">
        <v>2</v>
      </c>
      <c r="G57" s="7" t="s">
        <v>167</v>
      </c>
    </row>
    <row r="59" spans="1:7" ht="14" customHeight="1">
      <c r="A59" s="39" t="s">
        <v>168</v>
      </c>
      <c r="B59" s="39"/>
      <c r="C59" s="39"/>
      <c r="D59" s="39"/>
      <c r="E59" s="39"/>
      <c r="F59" s="39"/>
      <c r="G59" s="39"/>
    </row>
    <row r="60" spans="1:7" ht="20" customHeight="1">
      <c r="A60" s="8" t="s">
        <v>169</v>
      </c>
      <c r="B60" s="12">
        <v>2500</v>
      </c>
      <c r="C60" s="41"/>
      <c r="D60" s="41"/>
      <c r="E60" s="41"/>
      <c r="F60" s="41"/>
      <c r="G60" s="7" t="s">
        <v>170</v>
      </c>
    </row>
    <row r="61" spans="1:7" ht="20" customHeight="1">
      <c r="A61" s="18" t="s">
        <v>171</v>
      </c>
      <c r="B61" s="12">
        <v>1500</v>
      </c>
      <c r="C61" s="41"/>
      <c r="D61" s="41"/>
      <c r="E61" s="41"/>
      <c r="F61" s="41"/>
      <c r="G61" s="7" t="s">
        <v>172</v>
      </c>
    </row>
    <row r="62" spans="1:7" ht="20" customHeight="1">
      <c r="A62" s="8" t="s">
        <v>173</v>
      </c>
      <c r="B62" s="12">
        <v>1000</v>
      </c>
      <c r="C62" s="41"/>
      <c r="D62" s="41"/>
      <c r="E62" s="41"/>
      <c r="F62" s="41"/>
      <c r="G62" s="7" t="s">
        <v>174</v>
      </c>
    </row>
    <row r="63" spans="1:7" ht="20" customHeight="1">
      <c r="A63" s="18" t="s">
        <v>175</v>
      </c>
      <c r="B63" s="12">
        <v>12000</v>
      </c>
      <c r="C63" s="41"/>
      <c r="D63" s="41"/>
      <c r="E63" s="41"/>
      <c r="F63" s="41"/>
      <c r="G63" s="7" t="s">
        <v>176</v>
      </c>
    </row>
    <row r="64" spans="1:7" ht="20" customHeight="1">
      <c r="A64" s="8" t="s">
        <v>177</v>
      </c>
      <c r="B64" s="12">
        <v>6000</v>
      </c>
      <c r="C64" s="41"/>
      <c r="D64" s="41"/>
      <c r="E64" s="41"/>
      <c r="F64" s="41"/>
      <c r="G64" s="7" t="s">
        <v>178</v>
      </c>
    </row>
    <row r="65" spans="1:7" ht="20" customHeight="1">
      <c r="A65" s="18" t="s">
        <v>179</v>
      </c>
      <c r="B65" s="12">
        <v>800</v>
      </c>
      <c r="C65" s="41"/>
      <c r="D65" s="41"/>
      <c r="E65" s="41"/>
      <c r="F65" s="41"/>
      <c r="G65" s="7" t="s">
        <v>180</v>
      </c>
    </row>
    <row r="67" spans="1:7" ht="14" customHeight="1">
      <c r="A67" s="39" t="s">
        <v>181</v>
      </c>
      <c r="B67" s="39"/>
      <c r="C67" s="39"/>
      <c r="D67" s="39"/>
      <c r="E67" s="39"/>
      <c r="F67" s="39"/>
      <c r="G67" s="39"/>
    </row>
    <row r="68" spans="1:7" ht="20" customHeight="1">
      <c r="A68" s="8" t="s">
        <v>182</v>
      </c>
      <c r="B68" s="12">
        <v>15000</v>
      </c>
      <c r="C68" s="41"/>
      <c r="D68" s="41"/>
      <c r="E68" s="41"/>
      <c r="F68" s="41"/>
      <c r="G68" s="7" t="s">
        <v>183</v>
      </c>
    </row>
    <row r="69" spans="1:7" ht="20" customHeight="1">
      <c r="A69" s="18" t="s">
        <v>184</v>
      </c>
      <c r="B69" s="6">
        <v>1</v>
      </c>
      <c r="C69" s="6">
        <v>2</v>
      </c>
      <c r="D69" s="6">
        <v>2</v>
      </c>
      <c r="E69" s="6">
        <v>2</v>
      </c>
      <c r="F69" s="6">
        <v>2</v>
      </c>
      <c r="G69" s="7" t="s">
        <v>185</v>
      </c>
    </row>
    <row r="70" spans="1:7" ht="20" customHeight="1">
      <c r="A70" s="8" t="s">
        <v>186</v>
      </c>
      <c r="B70" s="12">
        <v>1500</v>
      </c>
      <c r="C70" s="41"/>
      <c r="D70" s="41"/>
      <c r="E70" s="41"/>
      <c r="F70" s="41"/>
      <c r="G70" s="7" t="s">
        <v>187</v>
      </c>
    </row>
    <row r="71" spans="1:7" ht="20" customHeight="1">
      <c r="A71" s="18" t="s">
        <v>188</v>
      </c>
      <c r="B71" s="12">
        <v>1000</v>
      </c>
      <c r="C71" s="41"/>
      <c r="D71" s="41"/>
      <c r="E71" s="41"/>
      <c r="F71" s="41"/>
      <c r="G71" s="7" t="s">
        <v>189</v>
      </c>
    </row>
    <row r="74" spans="1:7" ht="16" customHeight="1">
      <c r="A74" s="3" t="s">
        <v>190</v>
      </c>
      <c r="B74" s="3"/>
      <c r="C74" s="3"/>
      <c r="D74" s="3"/>
      <c r="E74" s="3"/>
      <c r="F74" s="3"/>
      <c r="G74" s="3"/>
    </row>
    <row r="75" spans="1:7">
      <c r="A75" s="2" t="s">
        <v>191</v>
      </c>
      <c r="B75" s="2"/>
      <c r="C75" s="2"/>
      <c r="D75" s="2"/>
      <c r="E75" s="2"/>
      <c r="F75" s="2"/>
      <c r="G75" s="2"/>
    </row>
    <row r="76" spans="1:7" ht="14" customHeight="1">
      <c r="A76" s="4" t="s">
        <v>192</v>
      </c>
      <c r="B76" s="4" t="s">
        <v>4</v>
      </c>
      <c r="C76" s="4" t="s">
        <v>5</v>
      </c>
      <c r="D76" s="4" t="s">
        <v>6</v>
      </c>
      <c r="E76" s="4" t="s">
        <v>7</v>
      </c>
      <c r="F76" s="4" t="s">
        <v>8</v>
      </c>
      <c r="G76" s="4" t="s">
        <v>193</v>
      </c>
    </row>
    <row r="77" spans="1:7" ht="22" customHeight="1">
      <c r="A77" s="18" t="s">
        <v>194</v>
      </c>
      <c r="B77" s="15">
        <f>B19*12*(1+B20)^0</f>
        <v>99600</v>
      </c>
      <c r="C77" s="15">
        <f>B19*12*(1+B20)^1</f>
        <v>115536</v>
      </c>
      <c r="D77" s="15">
        <f>B19*12*(1+B20)^2</f>
        <v>134022</v>
      </c>
      <c r="E77" s="15">
        <f>B19*12*(1+B20)^3</f>
        <v>155465</v>
      </c>
      <c r="F77" s="15">
        <f>B19*12*(1+B20)^4</f>
        <v>180340</v>
      </c>
      <c r="G77" s="7" t="s">
        <v>195</v>
      </c>
    </row>
    <row r="78" spans="1:7" ht="22" customHeight="1">
      <c r="A78" s="8" t="s">
        <v>196</v>
      </c>
      <c r="B78" s="16">
        <f>B99</f>
        <v>11520</v>
      </c>
      <c r="C78" s="16">
        <f>C99</f>
        <v>30720</v>
      </c>
      <c r="D78" s="16">
        <f>D99</f>
        <v>48000</v>
      </c>
      <c r="E78" s="16">
        <f>E99</f>
        <v>76800</v>
      </c>
      <c r="F78" s="16">
        <f>F99</f>
        <v>105600</v>
      </c>
      <c r="G78" s="7" t="s">
        <v>197</v>
      </c>
    </row>
    <row r="79" spans="1:7" ht="22" customHeight="1">
      <c r="A79" s="18" t="s">
        <v>198</v>
      </c>
      <c r="B79" s="15">
        <f>B16*12*1.3^0</f>
        <v>16200</v>
      </c>
      <c r="C79" s="15">
        <f>B16*12*1.3^1</f>
        <v>21060</v>
      </c>
      <c r="D79" s="15">
        <f>B16*12*1.3^2</f>
        <v>27378</v>
      </c>
      <c r="E79" s="15">
        <f>B16*12*1.3^3</f>
        <v>35591</v>
      </c>
      <c r="F79" s="15">
        <f>B16*12*1.3^4</f>
        <v>46269</v>
      </c>
      <c r="G79" s="7" t="s">
        <v>199</v>
      </c>
    </row>
    <row r="80" spans="1:7" ht="22" customHeight="1">
      <c r="A80" s="8" t="s">
        <v>200</v>
      </c>
      <c r="B80" s="16">
        <f>(B17*12+B37*B18)*1.15^0</f>
        <v>22608</v>
      </c>
      <c r="C80" s="16">
        <f>(B17*12+B38*B18)*1.15^1</f>
        <v>24932</v>
      </c>
      <c r="D80" s="16">
        <f>(B17*12+B38*B18)*1.15^2</f>
        <v>28672</v>
      </c>
      <c r="E80" s="16">
        <f>(B17*12+B38*B18)*1.15^3</f>
        <v>32973</v>
      </c>
      <c r="F80" s="16">
        <f>(B17*12+B38*B18)*1.15^4</f>
        <v>37918</v>
      </c>
      <c r="G80" s="7" t="s">
        <v>201</v>
      </c>
    </row>
    <row r="81" spans="1:7" ht="22" customHeight="1">
      <c r="A81" s="18" t="s">
        <v>202</v>
      </c>
      <c r="B81" s="15">
        <f>B24*12*(1+B25)^0</f>
        <v>21000</v>
      </c>
      <c r="C81" s="15">
        <f>B24*12*(1+B25)^1</f>
        <v>30450</v>
      </c>
      <c r="D81" s="15">
        <f>B24*12*(1+B25)^2</f>
        <v>44152</v>
      </c>
      <c r="E81" s="15">
        <f>B24*12*(1+B25)^3</f>
        <v>64021</v>
      </c>
      <c r="F81" s="15">
        <f>B24*12*(1+B25)^4</f>
        <v>92831</v>
      </c>
      <c r="G81" s="7" t="s">
        <v>203</v>
      </c>
    </row>
    <row r="82" spans="1:7" ht="22" customHeight="1">
      <c r="A82" s="8" t="s">
        <v>204</v>
      </c>
      <c r="B82" s="16">
        <f>(B21+B22)*12*1.12^0</f>
        <v>51000</v>
      </c>
      <c r="C82" s="16">
        <f>(B21+B22)*12*1.12^1</f>
        <v>57120</v>
      </c>
      <c r="D82" s="16">
        <f>(B21+B22)*12*1.12^2</f>
        <v>63974</v>
      </c>
      <c r="E82" s="16">
        <f>(B21+B22)*12*1.12^3</f>
        <v>71651</v>
      </c>
      <c r="F82" s="16">
        <f>(B21+B22)*12*1.12^4</f>
        <v>80249</v>
      </c>
      <c r="G82" s="7" t="s">
        <v>205</v>
      </c>
    </row>
    <row r="83" spans="1:7" ht="22" customHeight="1">
      <c r="A83" s="18" t="s">
        <v>206</v>
      </c>
      <c r="B83" s="15">
        <f>B23*12</f>
        <v>30000</v>
      </c>
      <c r="C83" s="15">
        <f>B23*12</f>
        <v>30000</v>
      </c>
      <c r="D83" s="15">
        <f>B23*12</f>
        <v>30000</v>
      </c>
      <c r="E83" s="15">
        <f>B23*12</f>
        <v>30000</v>
      </c>
      <c r="F83" s="15">
        <f>B23*12</f>
        <v>30000</v>
      </c>
      <c r="G83" s="7" t="s">
        <v>207</v>
      </c>
    </row>
    <row r="84" spans="1:7" ht="22" customHeight="1">
      <c r="A84" s="8" t="s">
        <v>208</v>
      </c>
      <c r="B84" s="16">
        <f>B28*B27</f>
        <v>44950</v>
      </c>
      <c r="C84" s="16">
        <f>C28*B27</f>
        <v>72500</v>
      </c>
      <c r="D84" s="16">
        <f>D28*B27</f>
        <v>89900</v>
      </c>
      <c r="E84" s="16">
        <f>E28*B27</f>
        <v>120350</v>
      </c>
      <c r="F84" s="16">
        <f>F28*B27</f>
        <v>150800</v>
      </c>
      <c r="G84" s="7" t="s">
        <v>209</v>
      </c>
    </row>
    <row r="85" spans="1:7" ht="22" customHeight="1">
      <c r="A85" s="18" t="s">
        <v>210</v>
      </c>
      <c r="B85" s="15">
        <f>B30*B29</f>
        <v>39750</v>
      </c>
      <c r="C85" s="15">
        <f>C30*B29</f>
        <v>54750</v>
      </c>
      <c r="D85" s="15">
        <f>D30*B29</f>
        <v>64500</v>
      </c>
      <c r="E85" s="15">
        <f>E30*B29</f>
        <v>80250</v>
      </c>
      <c r="F85" s="15">
        <f>F30*B29</f>
        <v>95250</v>
      </c>
      <c r="G85" s="7" t="s">
        <v>211</v>
      </c>
    </row>
    <row r="86" spans="1:7" ht="22" customHeight="1">
      <c r="A86" s="8" t="s">
        <v>212</v>
      </c>
      <c r="B86" s="16">
        <f>B32*B31</f>
        <v>110000</v>
      </c>
      <c r="C86" s="16">
        <f>C32*B31</f>
        <v>198000</v>
      </c>
      <c r="D86" s="16">
        <f>D32*B31</f>
        <v>264000</v>
      </c>
      <c r="E86" s="16">
        <f>E32*B31</f>
        <v>374000</v>
      </c>
      <c r="F86" s="16">
        <f>F32*B31</f>
        <v>451000</v>
      </c>
      <c r="G86" s="7" t="s">
        <v>213</v>
      </c>
    </row>
    <row r="87" spans="1:7" ht="18" customHeight="1">
      <c r="A87" s="24" t="s">
        <v>214</v>
      </c>
      <c r="B87" s="25">
        <f>SUM(B77:B86)</f>
        <v>446628</v>
      </c>
      <c r="C87" s="25">
        <f>SUM(C77:C86)</f>
        <v>635068</v>
      </c>
      <c r="D87" s="25">
        <f>SUM(D77:D86)</f>
        <v>794598</v>
      </c>
      <c r="E87" s="25">
        <f>SUM(E77:E86)</f>
        <v>1041101</v>
      </c>
      <c r="F87" s="25">
        <f>SUM(F77:F86)</f>
        <v>1270257</v>
      </c>
      <c r="G87" s="7">
        <f>SUM of 10 components. Links to Section 1 Tech line.</f>
        <v>0</v>
      </c>
    </row>
    <row r="90" spans="1:7" ht="16" customHeight="1">
      <c r="A90" s="3" t="s">
        <v>215</v>
      </c>
      <c r="B90" s="3"/>
      <c r="C90" s="3"/>
      <c r="D90" s="3"/>
      <c r="E90" s="3"/>
      <c r="F90" s="3"/>
      <c r="G90" s="3"/>
    </row>
    <row r="91" spans="1:7">
      <c r="A91" s="2" t="s">
        <v>216</v>
      </c>
      <c r="B91" s="2"/>
      <c r="C91" s="2"/>
      <c r="D91" s="2"/>
      <c r="E91" s="2"/>
      <c r="F91" s="2"/>
      <c r="G91" s="2"/>
    </row>
    <row r="92" spans="1:7" ht="14" customHeight="1">
      <c r="A92" s="4" t="s">
        <v>3</v>
      </c>
      <c r="B92" s="4" t="s">
        <v>4</v>
      </c>
      <c r="C92" s="4" t="s">
        <v>5</v>
      </c>
      <c r="D92" s="4" t="s">
        <v>6</v>
      </c>
      <c r="E92" s="4" t="s">
        <v>7</v>
      </c>
      <c r="F92" s="4" t="s">
        <v>8</v>
      </c>
      <c r="G92" s="4" t="s">
        <v>217</v>
      </c>
    </row>
    <row r="93" spans="1:7" ht="20" customHeight="1">
      <c r="A93" s="43" t="s">
        <v>218</v>
      </c>
      <c r="B93" s="44">
        <f>ROUND('Assumptions'!B6*0.4,0)</f>
        <v>4800</v>
      </c>
      <c r="C93" s="44">
        <f>ROUND('Assumptions'!C6*0.4,0)</f>
        <v>12800</v>
      </c>
      <c r="D93" s="44">
        <f>ROUND('Assumptions'!D6*0.4,0)</f>
        <v>20000</v>
      </c>
      <c r="E93" s="44">
        <f>ROUND('Assumptions'!E6*0.4,0)</f>
        <v>32000</v>
      </c>
      <c r="F93" s="44">
        <f>ROUND('Assumptions'!F6*0.4,0)</f>
        <v>44000</v>
      </c>
      <c r="G93" s="23" t="s">
        <v>219</v>
      </c>
    </row>
    <row r="94" spans="1:7" ht="20" customHeight="1">
      <c r="A94" s="45" t="s">
        <v>220</v>
      </c>
      <c r="B94" s="46">
        <f>B34</f>
        <v>8</v>
      </c>
      <c r="C94" s="46">
        <f>B34</f>
        <v>8</v>
      </c>
      <c r="D94" s="46">
        <f>B34</f>
        <v>8</v>
      </c>
      <c r="E94" s="46">
        <f>B34</f>
        <v>8</v>
      </c>
      <c r="F94" s="46">
        <f>B34</f>
        <v>8</v>
      </c>
      <c r="G94" s="21" t="s">
        <v>221</v>
      </c>
    </row>
    <row r="95" spans="1:7" ht="20" customHeight="1">
      <c r="A95" s="43" t="s">
        <v>129</v>
      </c>
      <c r="B95" s="47">
        <f>B35</f>
        <v>2.5</v>
      </c>
      <c r="C95" s="47">
        <f>B35</f>
        <v>2.5</v>
      </c>
      <c r="D95" s="47">
        <f>B35</f>
        <v>2.5</v>
      </c>
      <c r="E95" s="47">
        <f>B35</f>
        <v>2.5</v>
      </c>
      <c r="F95" s="47">
        <f>B35</f>
        <v>2.5</v>
      </c>
      <c r="G95" s="23" t="s">
        <v>221</v>
      </c>
    </row>
    <row r="96" spans="1:7" ht="20" customHeight="1">
      <c r="A96" s="45" t="s">
        <v>222</v>
      </c>
      <c r="B96" s="48">
        <f>B94*B95</f>
        <v>20.0</v>
      </c>
      <c r="C96" s="48">
        <f>B94*B95</f>
        <v>20.0</v>
      </c>
      <c r="D96" s="48">
        <f>B94*B95</f>
        <v>20.0</v>
      </c>
      <c r="E96" s="48">
        <f>B94*B95</f>
        <v>20.0</v>
      </c>
      <c r="F96" s="48">
        <f>B94*B95</f>
        <v>20.0</v>
      </c>
      <c r="G96" s="21">
        <f> hrs x GB/hr.</f>
        <v>0</v>
      </c>
    </row>
    <row r="97" spans="1:7" ht="20" customHeight="1">
      <c r="A97" s="43" t="s">
        <v>223</v>
      </c>
      <c r="B97" s="44">
        <f>B93*B96*12/1000</f>
        <v>1152</v>
      </c>
      <c r="C97" s="44">
        <f>C93*C96*12/1000</f>
        <v>3072</v>
      </c>
      <c r="D97" s="44">
        <f>D93*D96*12/1000</f>
        <v>4800</v>
      </c>
      <c r="E97" s="44">
        <f>E93*E96*12/1000</f>
        <v>7680</v>
      </c>
      <c r="F97" s="44">
        <f>F93*F96*12/1000</f>
        <v>10560</v>
      </c>
      <c r="G97" s="23" t="s">
        <v>224</v>
      </c>
    </row>
    <row r="98" spans="1:7" ht="20" customHeight="1">
      <c r="A98" s="45" t="s">
        <v>225</v>
      </c>
      <c r="B98" s="49">
        <f>B15</f>
        <v>0.01</v>
      </c>
      <c r="C98" s="49">
        <f>B15</f>
        <v>0.01</v>
      </c>
      <c r="D98" s="49">
        <f>B15</f>
        <v>0.01</v>
      </c>
      <c r="E98" s="49">
        <f>B15</f>
        <v>0.01</v>
      </c>
      <c r="F98" s="49">
        <f>B15</f>
        <v>0.01</v>
      </c>
      <c r="G98" s="21" t="s">
        <v>226</v>
      </c>
    </row>
    <row r="99" spans="1:7" ht="20" customHeight="1">
      <c r="A99" s="43" t="s">
        <v>227</v>
      </c>
      <c r="B99" s="50">
        <f>B97*1000*B98</f>
        <v>11520</v>
      </c>
      <c r="C99" s="50">
        <f>C97*1000*C98</f>
        <v>30720</v>
      </c>
      <c r="D99" s="50">
        <f>D97*1000*D98</f>
        <v>48000</v>
      </c>
      <c r="E99" s="50">
        <f>E97*1000*E98</f>
        <v>76800</v>
      </c>
      <c r="F99" s="50">
        <f>F97*1000*F98</f>
        <v>105600</v>
      </c>
      <c r="G99" s="23">
        <f> GB_total_K x 1,000 x CDN_rate. Feeds Section 2 CDN line.</f>
        <v>0</v>
      </c>
    </row>
    <row r="102" spans="1:7" ht="16" customHeight="1">
      <c r="A102" s="3" t="s">
        <v>228</v>
      </c>
      <c r="B102" s="3"/>
      <c r="C102" s="3"/>
      <c r="D102" s="3"/>
      <c r="E102" s="3"/>
      <c r="F102" s="3"/>
      <c r="G102" s="3"/>
    </row>
    <row r="103" spans="1:7">
      <c r="A103" s="2" t="s">
        <v>229</v>
      </c>
      <c r="B103" s="2"/>
      <c r="C103" s="2"/>
      <c r="D103" s="2"/>
      <c r="E103" s="2"/>
      <c r="F103" s="2"/>
      <c r="G103" s="2"/>
    </row>
    <row r="104" spans="1:7" ht="14" customHeight="1">
      <c r="A104" s="4" t="s">
        <v>192</v>
      </c>
      <c r="B104" s="4" t="s">
        <v>4</v>
      </c>
      <c r="C104" s="4" t="s">
        <v>5</v>
      </c>
      <c r="D104" s="4" t="s">
        <v>6</v>
      </c>
      <c r="E104" s="4" t="s">
        <v>7</v>
      </c>
      <c r="F104" s="4" t="s">
        <v>8</v>
      </c>
      <c r="G104" s="4" t="s">
        <v>193</v>
      </c>
    </row>
    <row r="105" spans="1:7" ht="22" customHeight="1">
      <c r="A105" s="18" t="s">
        <v>230</v>
      </c>
      <c r="B105" s="15">
        <f>B41*'Assumptions'!B6</f>
        <v>90000</v>
      </c>
      <c r="C105" s="15">
        <f>C41*('Assumptions'!C6-'Assumptions'!B6)</f>
        <v>150000</v>
      </c>
      <c r="D105" s="15">
        <f>D41*('Assumptions'!D6-'Assumptions'!C6)</f>
        <v>180000</v>
      </c>
      <c r="E105" s="15">
        <f>E41*('Assumptions'!E6-'Assumptions'!D6)</f>
        <v>360000</v>
      </c>
      <c r="F105" s="15">
        <f>F41*('Assumptions'!F6-'Assumptions'!E6)</f>
        <v>420000</v>
      </c>
      <c r="G105" s="7" t="s">
        <v>231</v>
      </c>
    </row>
    <row r="106" spans="1:7" ht="22" customHeight="1">
      <c r="A106" s="8" t="s">
        <v>232</v>
      </c>
      <c r="B106" s="16">
        <f>B42*12*1.15^0</f>
        <v>36000</v>
      </c>
      <c r="C106" s="16">
        <f>B42*12*1.15^1</f>
        <v>41400</v>
      </c>
      <c r="D106" s="16">
        <f>B42*12*1.15^2</f>
        <v>47610</v>
      </c>
      <c r="E106" s="16">
        <f>B42*12*1.15^3</f>
        <v>54751</v>
      </c>
      <c r="F106" s="16">
        <f>B42*12*1.15^4</f>
        <v>62964</v>
      </c>
      <c r="G106" s="7" t="s">
        <v>233</v>
      </c>
    </row>
    <row r="107" spans="1:7" ht="22" customHeight="1">
      <c r="A107" s="18" t="s">
        <v>234</v>
      </c>
      <c r="B107" s="15">
        <f>B43*12*1.15^0</f>
        <v>18000</v>
      </c>
      <c r="C107" s="15">
        <f>B43*12*1.15^1</f>
        <v>20700</v>
      </c>
      <c r="D107" s="15">
        <f>B43*12*1.15^2</f>
        <v>23805</v>
      </c>
      <c r="E107" s="15">
        <f>B43*12*1.15^3</f>
        <v>27376</v>
      </c>
      <c r="F107" s="15">
        <f>B43*12*1.15^4</f>
        <v>31482</v>
      </c>
      <c r="G107" s="7" t="s">
        <v>235</v>
      </c>
    </row>
    <row r="108" spans="1:7" ht="22" customHeight="1">
      <c r="A108" s="8" t="s">
        <v>236</v>
      </c>
      <c r="B108" s="16">
        <f>B44*1.15^0</f>
        <v>12000</v>
      </c>
      <c r="C108" s="16">
        <f>B44*1.15^1</f>
        <v>13800</v>
      </c>
      <c r="D108" s="16">
        <f>B44*1.15^2</f>
        <v>15870</v>
      </c>
      <c r="E108" s="16">
        <f>B44*1.15^3</f>
        <v>18250</v>
      </c>
      <c r="F108" s="16">
        <f>B44*1.15^4</f>
        <v>20988</v>
      </c>
      <c r="G108" s="7" t="s">
        <v>237</v>
      </c>
    </row>
    <row r="109" spans="1:7" ht="22" customHeight="1">
      <c r="A109" s="18" t="s">
        <v>238</v>
      </c>
      <c r="B109" s="15">
        <f>B45*12*1.2^0</f>
        <v>18000</v>
      </c>
      <c r="C109" s="15">
        <f>B45*12*1.2^1</f>
        <v>21600</v>
      </c>
      <c r="D109" s="15">
        <f>B45*12*1.2^2</f>
        <v>25920</v>
      </c>
      <c r="E109" s="15">
        <f>B45*12*1.2^3</f>
        <v>31104</v>
      </c>
      <c r="F109" s="15">
        <f>B45*12*1.2^4</f>
        <v>37325</v>
      </c>
      <c r="G109" s="7" t="s">
        <v>239</v>
      </c>
    </row>
    <row r="110" spans="1:7" ht="22" customHeight="1">
      <c r="A110" s="8" t="s">
        <v>240</v>
      </c>
      <c r="B110" s="16">
        <f>B46*12*1.2^0</f>
        <v>12000</v>
      </c>
      <c r="C110" s="16">
        <f>B46*12*1.2^1</f>
        <v>14400</v>
      </c>
      <c r="D110" s="16">
        <f>B46*12*1.2^2</f>
        <v>17280</v>
      </c>
      <c r="E110" s="16">
        <f>B46*12*1.2^3</f>
        <v>20736</v>
      </c>
      <c r="F110" s="16">
        <f>B46*12*1.2^4</f>
        <v>24883</v>
      </c>
      <c r="G110" s="7" t="s">
        <v>241</v>
      </c>
    </row>
    <row r="111" spans="1:7" ht="22" customHeight="1">
      <c r="A111" s="18" t="s">
        <v>242</v>
      </c>
      <c r="B111" s="15">
        <f>B47</f>
        <v>0</v>
      </c>
      <c r="C111" s="15">
        <f>C47</f>
        <v>30000</v>
      </c>
      <c r="D111" s="15">
        <f>D47</f>
        <v>80000</v>
      </c>
      <c r="E111" s="15">
        <f>E47</f>
        <v>100000</v>
      </c>
      <c r="F111" s="15">
        <f>F47</f>
        <v>80000</v>
      </c>
      <c r="G111" s="7" t="s">
        <v>243</v>
      </c>
    </row>
    <row r="112" spans="1:7" ht="18" customHeight="1">
      <c r="A112" s="24" t="s">
        <v>244</v>
      </c>
      <c r="B112" s="25">
        <f>SUM(B105:B111)</f>
        <v>186000</v>
      </c>
      <c r="C112" s="25">
        <f>SUM(C105:C111)</f>
        <v>291900</v>
      </c>
      <c r="D112" s="25">
        <f>SUM(D105:D111)</f>
        <v>390485</v>
      </c>
      <c r="E112" s="25">
        <f>SUM(E105:E111)</f>
        <v>612217</v>
      </c>
      <c r="F112" s="25">
        <f>SUM(F105:F111)</f>
        <v>677642</v>
      </c>
      <c r="G112" s="7">
        <f>SUM of 7 components. Links to Section 1 Marketing line.</f>
        <v>0</v>
      </c>
    </row>
    <row r="115" spans="1:7" ht="16" customHeight="1">
      <c r="A115" s="3" t="s">
        <v>245</v>
      </c>
      <c r="B115" s="3"/>
      <c r="C115" s="3"/>
      <c r="D115" s="3"/>
      <c r="E115" s="3"/>
      <c r="F115" s="3"/>
      <c r="G115" s="3"/>
    </row>
    <row r="116" spans="1:7">
      <c r="A116" s="2" t="s">
        <v>246</v>
      </c>
      <c r="B116" s="2"/>
      <c r="C116" s="2"/>
      <c r="D116" s="2"/>
      <c r="E116" s="2"/>
      <c r="F116" s="2"/>
      <c r="G116" s="2"/>
    </row>
    <row r="117" spans="1:7" ht="14" customHeight="1">
      <c r="A117" s="4" t="s">
        <v>192</v>
      </c>
      <c r="B117" s="4" t="s">
        <v>4</v>
      </c>
      <c r="C117" s="4" t="s">
        <v>5</v>
      </c>
      <c r="D117" s="4" t="s">
        <v>6</v>
      </c>
      <c r="E117" s="4" t="s">
        <v>7</v>
      </c>
      <c r="F117" s="4" t="s">
        <v>8</v>
      </c>
      <c r="G117" s="4" t="s">
        <v>193</v>
      </c>
    </row>
    <row r="118" spans="1:7" ht="22" customHeight="1">
      <c r="A118" s="18" t="s">
        <v>247</v>
      </c>
      <c r="B118" s="15">
        <f>B55*B50*B53</f>
        <v>49560</v>
      </c>
      <c r="C118" s="15">
        <f>C55*B50*B53</f>
        <v>99120</v>
      </c>
      <c r="D118" s="15">
        <f>D55*B50*B53</f>
        <v>99120</v>
      </c>
      <c r="E118" s="15">
        <f>E55*B50*B53</f>
        <v>148680</v>
      </c>
      <c r="F118" s="15">
        <f>F55*B50*B53</f>
        <v>148680</v>
      </c>
      <c r="G118" s="7" t="s">
        <v>248</v>
      </c>
    </row>
    <row r="119" spans="1:7" ht="22" customHeight="1">
      <c r="A119" s="8" t="s">
        <v>249</v>
      </c>
      <c r="B119" s="16">
        <f>B56*B51*B53</f>
        <v>28320</v>
      </c>
      <c r="C119" s="16">
        <f>C56*B51*B53</f>
        <v>28320</v>
      </c>
      <c r="D119" s="16">
        <f>D56*B51*B53</f>
        <v>56640</v>
      </c>
      <c r="E119" s="16">
        <f>E56*B51*B53</f>
        <v>56640</v>
      </c>
      <c r="F119" s="16">
        <f>F56*B51*B53</f>
        <v>84960</v>
      </c>
      <c r="G119" s="7" t="s">
        <v>250</v>
      </c>
    </row>
    <row r="120" spans="1:7" ht="22" customHeight="1">
      <c r="A120" s="18" t="s">
        <v>251</v>
      </c>
      <c r="B120" s="15">
        <f>B57*B52*B53</f>
        <v>42480</v>
      </c>
      <c r="C120" s="15">
        <f>C57*B52*B53</f>
        <v>42480</v>
      </c>
      <c r="D120" s="15">
        <f>D57*B52*B53</f>
        <v>42480</v>
      </c>
      <c r="E120" s="15">
        <f>E57*B52*B53</f>
        <v>84960</v>
      </c>
      <c r="F120" s="15">
        <f>F57*B52*B53</f>
        <v>84960</v>
      </c>
      <c r="G120" s="7" t="s">
        <v>252</v>
      </c>
    </row>
    <row r="121" spans="1:7" ht="22" customHeight="1">
      <c r="A121" s="8" t="s">
        <v>253</v>
      </c>
      <c r="B121" s="16">
        <f>B54*12</f>
        <v>14400</v>
      </c>
      <c r="C121" s="16">
        <f>B54*12</f>
        <v>14400</v>
      </c>
      <c r="D121" s="16">
        <f>B54*12</f>
        <v>14400</v>
      </c>
      <c r="E121" s="16">
        <f>B54*12</f>
        <v>14400</v>
      </c>
      <c r="F121" s="16">
        <f>B54*12</f>
        <v>14400</v>
      </c>
      <c r="G121" s="7" t="s">
        <v>254</v>
      </c>
    </row>
    <row r="122" spans="1:7" ht="18" customHeight="1">
      <c r="A122" s="24" t="s">
        <v>255</v>
      </c>
      <c r="B122" s="25">
        <f>SUM(B118:B121)</f>
        <v>134760</v>
      </c>
      <c r="C122" s="25">
        <f>SUM(C118:C121)</f>
        <v>184320</v>
      </c>
      <c r="D122" s="25">
        <f>SUM(D118:D121)</f>
        <v>212640</v>
      </c>
      <c r="E122" s="25">
        <f>SUM(E118:E121)</f>
        <v>304680</v>
      </c>
      <c r="F122" s="25">
        <f>SUM(F118:F121)</f>
        <v>333000</v>
      </c>
      <c r="G122" s="7">
        <f>SUM of 4 components. Links to Section 1 Team line.</f>
        <v>0</v>
      </c>
    </row>
    <row r="125" spans="1:7" ht="16" customHeight="1">
      <c r="A125" s="3" t="s">
        <v>256</v>
      </c>
      <c r="B125" s="3"/>
      <c r="C125" s="3"/>
      <c r="D125" s="3"/>
      <c r="E125" s="3"/>
      <c r="F125" s="3"/>
      <c r="G125" s="3"/>
    </row>
    <row r="126" spans="1:7">
      <c r="A126" s="2" t="s">
        <v>257</v>
      </c>
      <c r="B126" s="2"/>
      <c r="C126" s="2"/>
      <c r="D126" s="2"/>
      <c r="E126" s="2"/>
      <c r="F126" s="2"/>
      <c r="G126" s="2"/>
    </row>
    <row r="127" spans="1:7" ht="14" customHeight="1">
      <c r="A127" s="4" t="s">
        <v>192</v>
      </c>
      <c r="B127" s="4" t="s">
        <v>4</v>
      </c>
      <c r="C127" s="4" t="s">
        <v>5</v>
      </c>
      <c r="D127" s="4" t="s">
        <v>6</v>
      </c>
      <c r="E127" s="4" t="s">
        <v>7</v>
      </c>
      <c r="F127" s="4" t="s">
        <v>8</v>
      </c>
      <c r="G127" s="4" t="s">
        <v>193</v>
      </c>
    </row>
    <row r="128" spans="1:7" ht="22" customHeight="1">
      <c r="A128" s="18" t="s">
        <v>258</v>
      </c>
      <c r="B128" s="15">
        <f>B60*12*1.1^0</f>
        <v>30000</v>
      </c>
      <c r="C128" s="15">
        <f>B60*12*1.1^1</f>
        <v>33000</v>
      </c>
      <c r="D128" s="15">
        <f>B60*12*1.1^2</f>
        <v>36300</v>
      </c>
      <c r="E128" s="15">
        <f>B60*12*1.1^3</f>
        <v>39930</v>
      </c>
      <c r="F128" s="15">
        <f>B60*12*1.1^4</f>
        <v>43923</v>
      </c>
      <c r="G128" s="7" t="s">
        <v>259</v>
      </c>
    </row>
    <row r="129" spans="1:7" ht="22" customHeight="1">
      <c r="A129" s="8" t="s">
        <v>260</v>
      </c>
      <c r="B129" s="16">
        <f>B61*12*1.1^0</f>
        <v>18000</v>
      </c>
      <c r="C129" s="16">
        <f>B61*12*1.1^1</f>
        <v>19800</v>
      </c>
      <c r="D129" s="16">
        <f>B61*12*1.1^2</f>
        <v>21780</v>
      </c>
      <c r="E129" s="16">
        <f>B61*12*1.1^3</f>
        <v>23958</v>
      </c>
      <c r="F129" s="16">
        <f>B61*12*1.1^4</f>
        <v>26354</v>
      </c>
      <c r="G129" s="7" t="s">
        <v>261</v>
      </c>
    </row>
    <row r="130" spans="1:7" ht="22" customHeight="1">
      <c r="A130" s="18" t="s">
        <v>262</v>
      </c>
      <c r="B130" s="15">
        <f>B62*12*1.1^0</f>
        <v>12000</v>
      </c>
      <c r="C130" s="15">
        <f>B62*12*1.1^1</f>
        <v>13800</v>
      </c>
      <c r="D130" s="15">
        <f>B62*12*1.1^2</f>
        <v>15870</v>
      </c>
      <c r="E130" s="15">
        <f>B62*12*1.1^3</f>
        <v>18250</v>
      </c>
      <c r="F130" s="15">
        <f>B62*12*1.1^4</f>
        <v>20988</v>
      </c>
      <c r="G130" s="7" t="s">
        <v>263</v>
      </c>
    </row>
    <row r="131" spans="1:7" ht="22" customHeight="1">
      <c r="A131" s="8" t="s">
        <v>264</v>
      </c>
      <c r="B131" s="16">
        <f>B63*1.1^0</f>
        <v>12000</v>
      </c>
      <c r="C131" s="16">
        <f>B63*1.1^1</f>
        <v>13200</v>
      </c>
      <c r="D131" s="16">
        <f>B63*1.1^2</f>
        <v>14520</v>
      </c>
      <c r="E131" s="16">
        <f>B63*1.1^3</f>
        <v>15972</v>
      </c>
      <c r="F131" s="16">
        <f>B63*1.1^4</f>
        <v>17569</v>
      </c>
      <c r="G131" s="7" t="s">
        <v>265</v>
      </c>
    </row>
    <row r="132" spans="1:7" ht="22" customHeight="1">
      <c r="A132" s="18" t="s">
        <v>266</v>
      </c>
      <c r="B132" s="15">
        <f>B64</f>
        <v>6000</v>
      </c>
      <c r="C132" s="15">
        <f>B64</f>
        <v>6000</v>
      </c>
      <c r="D132" s="15">
        <f>B64</f>
        <v>6000</v>
      </c>
      <c r="E132" s="15">
        <f>B64</f>
        <v>6000</v>
      </c>
      <c r="F132" s="15">
        <f>B64</f>
        <v>6000</v>
      </c>
      <c r="G132" s="7" t="s">
        <v>267</v>
      </c>
    </row>
    <row r="133" spans="1:7" ht="22" customHeight="1">
      <c r="A133" s="8" t="s">
        <v>268</v>
      </c>
      <c r="B133" s="16">
        <f>B65*12</f>
        <v>9600</v>
      </c>
      <c r="C133" s="16">
        <f>B65*12</f>
        <v>9600</v>
      </c>
      <c r="D133" s="16">
        <f>B65*12</f>
        <v>9600</v>
      </c>
      <c r="E133" s="16">
        <f>B65*12</f>
        <v>9600</v>
      </c>
      <c r="F133" s="16">
        <f>B65*12</f>
        <v>9600</v>
      </c>
      <c r="G133" s="7" t="s">
        <v>269</v>
      </c>
    </row>
    <row r="134" spans="1:7" ht="18" customHeight="1">
      <c r="A134" s="24" t="s">
        <v>270</v>
      </c>
      <c r="B134" s="25">
        <f>SUM(B128:B133)</f>
        <v>87600</v>
      </c>
      <c r="C134" s="25">
        <f>SUM(C128:C133)</f>
        <v>95400</v>
      </c>
      <c r="D134" s="25">
        <f>SUM(D128:D133)</f>
        <v>104070</v>
      </c>
      <c r="E134" s="25">
        <f>SUM(E128:E133)</f>
        <v>113710</v>
      </c>
      <c r="F134" s="25">
        <f>SUM(F128:F133)</f>
        <v>124434</v>
      </c>
      <c r="G134" s="7">
        <f>SUM of 6 components. Links to Section 1 Legal line.</f>
        <v>0</v>
      </c>
    </row>
    <row r="137" spans="1:7" ht="16" customHeight="1">
      <c r="A137" s="3" t="s">
        <v>271</v>
      </c>
      <c r="B137" s="3"/>
      <c r="C137" s="3"/>
      <c r="D137" s="3"/>
      <c r="E137" s="3"/>
      <c r="F137" s="3"/>
      <c r="G137" s="3"/>
    </row>
    <row r="138" spans="1:7">
      <c r="A138" s="2" t="s">
        <v>272</v>
      </c>
      <c r="B138" s="2"/>
      <c r="C138" s="2"/>
      <c r="D138" s="2"/>
      <c r="E138" s="2"/>
      <c r="F138" s="2"/>
      <c r="G138" s="2"/>
    </row>
    <row r="139" spans="1:7" ht="14" customHeight="1">
      <c r="A139" s="4" t="s">
        <v>192</v>
      </c>
      <c r="B139" s="4" t="s">
        <v>4</v>
      </c>
      <c r="C139" s="4" t="s">
        <v>5</v>
      </c>
      <c r="D139" s="4" t="s">
        <v>6</v>
      </c>
      <c r="E139" s="4" t="s">
        <v>7</v>
      </c>
      <c r="F139" s="4" t="s">
        <v>8</v>
      </c>
      <c r="G139" s="4" t="s">
        <v>193</v>
      </c>
    </row>
    <row r="140" spans="1:7" ht="22" customHeight="1">
      <c r="A140" s="18" t="s">
        <v>273</v>
      </c>
      <c r="B140" s="15">
        <f>B69*B68</f>
        <v>15000</v>
      </c>
      <c r="C140" s="15">
        <f>C69*B68</f>
        <v>30000</v>
      </c>
      <c r="D140" s="15">
        <f>D69*B68</f>
        <v>30000</v>
      </c>
      <c r="E140" s="15">
        <f>E69*B68</f>
        <v>30000</v>
      </c>
      <c r="F140" s="15">
        <f>F69*B68</f>
        <v>30000</v>
      </c>
      <c r="G140" s="7" t="s">
        <v>274</v>
      </c>
    </row>
    <row r="141" spans="1:7" ht="22" customHeight="1">
      <c r="A141" s="8" t="s">
        <v>275</v>
      </c>
      <c r="B141" s="16">
        <f>=SUM(B69:B69)*B70*12</f>
        <v>18000</v>
      </c>
      <c r="C141" s="16">
        <f>=SUM(B69:C69)*B70*12</f>
        <v>54000</v>
      </c>
      <c r="D141" s="16">
        <f>=SUM(B69:D69)*B70*12</f>
        <v>90000</v>
      </c>
      <c r="E141" s="16">
        <f>=SUM(B69:E69)*B70*12</f>
        <v>126000</v>
      </c>
      <c r="F141" s="16">
        <f>=SUM(B69:F69)*B70*12</f>
        <v>162000</v>
      </c>
      <c r="G141" s="7" t="s">
        <v>276</v>
      </c>
    </row>
    <row r="142" spans="1:7" ht="22" customHeight="1">
      <c r="A142" s="18" t="s">
        <v>277</v>
      </c>
      <c r="B142" s="15">
        <f>B71*12*1.15^0</f>
        <v>12000</v>
      </c>
      <c r="C142" s="15">
        <f>B71*12*1.15^1</f>
        <v>13800</v>
      </c>
      <c r="D142" s="15">
        <f>B71*12*1.15^2</f>
        <v>15870</v>
      </c>
      <c r="E142" s="15">
        <f>B71*12*1.15^3</f>
        <v>18250</v>
      </c>
      <c r="F142" s="15">
        <f>B71*12*1.15^4</f>
        <v>20988</v>
      </c>
      <c r="G142" s="7" t="s">
        <v>278</v>
      </c>
    </row>
    <row r="143" spans="1:7" ht="18" customHeight="1">
      <c r="A143" s="24" t="s">
        <v>279</v>
      </c>
      <c r="B143" s="25">
        <f>SUM(B140:B142)</f>
        <v>45000</v>
      </c>
      <c r="C143" s="25">
        <f>SUM(C140:C142)</f>
        <v>97800</v>
      </c>
      <c r="D143" s="25">
        <f>SUM(D140:D142)</f>
        <v>135870</v>
      </c>
      <c r="E143" s="25">
        <f>SUM(E140:E142)</f>
        <v>174250</v>
      </c>
      <c r="F143" s="25">
        <f>SUM(F140:F142)</f>
        <v>212988</v>
      </c>
      <c r="G143" s="7">
        <f>SUM of 3 components. Links to Section 1 B2B line.</f>
        <v>0</v>
      </c>
    </row>
  </sheetData>
  <mergeCells count="23">
    <mergeCell ref="A1:G1"/>
    <mergeCell ref="A3:G3"/>
    <mergeCell ref="A12:G12"/>
    <mergeCell ref="A13:G13"/>
    <mergeCell ref="A14:G14"/>
    <mergeCell ref="A33:G33"/>
    <mergeCell ref="A36:G36"/>
    <mergeCell ref="A40:G40"/>
    <mergeCell ref="A49:G49"/>
    <mergeCell ref="A59:G59"/>
    <mergeCell ref="A67:G67"/>
    <mergeCell ref="A74:G74"/>
    <mergeCell ref="A75:G75"/>
    <mergeCell ref="A90:G90"/>
    <mergeCell ref="A91:G91"/>
    <mergeCell ref="A102:G102"/>
    <mergeCell ref="A103:G103"/>
    <mergeCell ref="A115:G115"/>
    <mergeCell ref="A116:G116"/>
    <mergeCell ref="A125:G125"/>
    <mergeCell ref="A126:G126"/>
    <mergeCell ref="A137:G137"/>
    <mergeCell ref="A138:G138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E65100"/>
  </sheetPr>
  <dimension ref="A1:K61"/>
  <sheetViews>
    <sheetView showGridLines="0" zoomScale="80" zoomScaleNormal="80" workbookViewId="0"/>
  </sheetViews>
  <sheetFormatPr defaultRowHeight="15"/>
  <cols>
    <col min="1" max="1" width="16.7109375" customWidth="1"/>
    <col min="2" max="2" width="9.7109375" customWidth="1"/>
    <col min="3" max="4" width="8.7109375" customWidth="1"/>
    <col min="5" max="5" width="10.7109375" customWidth="1"/>
    <col min="6" max="6" width="9.7109375" customWidth="1"/>
    <col min="7" max="7" width="10.7109375" customWidth="1"/>
    <col min="8" max="8" width="9.7109375" customWidth="1"/>
    <col min="9" max="10" width="10.7109375" customWidth="1"/>
    <col min="11" max="11" width="28.7109375" customWidth="1"/>
  </cols>
  <sheetData>
    <row r="1" spans="1:11" ht="20" customHeight="1">
      <c r="A1" s="37" t="s">
        <v>280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1" ht="16" customHeight="1">
      <c r="A3" s="51" t="s">
        <v>281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14" customHeight="1">
      <c r="A4" s="4" t="s">
        <v>282</v>
      </c>
      <c r="B4" s="4" t="s">
        <v>283</v>
      </c>
      <c r="C4" s="4" t="s">
        <v>284</v>
      </c>
      <c r="D4" s="4" t="s">
        <v>285</v>
      </c>
      <c r="E4" s="4" t="s">
        <v>286</v>
      </c>
      <c r="F4" s="4" t="s">
        <v>287</v>
      </c>
      <c r="G4" s="4" t="s">
        <v>288</v>
      </c>
      <c r="H4" s="4" t="s">
        <v>289</v>
      </c>
      <c r="I4" s="4" t="s">
        <v>290</v>
      </c>
      <c r="J4" s="4"/>
      <c r="K4" s="4" t="s">
        <v>9</v>
      </c>
    </row>
    <row r="5" spans="1:11" ht="20" customHeight="1">
      <c r="A5" s="18" t="s">
        <v>291</v>
      </c>
      <c r="B5" s="52" t="s">
        <v>292</v>
      </c>
      <c r="C5" s="53">
        <v>46.87</v>
      </c>
      <c r="D5" s="54">
        <v>3.2</v>
      </c>
      <c r="E5" s="33">
        <v>1200000</v>
      </c>
      <c r="F5" s="55">
        <v>0.8740000000000001</v>
      </c>
      <c r="G5" s="55">
        <v>0.652</v>
      </c>
      <c r="H5" s="55">
        <v>0.4</v>
      </c>
      <c r="I5" s="56">
        <v>8.5</v>
      </c>
      <c r="J5" s="57"/>
      <c r="K5" s="58" t="s">
        <v>293</v>
      </c>
    </row>
    <row r="6" spans="1:11" ht="20" customHeight="1">
      <c r="A6" s="8" t="s">
        <v>294</v>
      </c>
      <c r="B6" s="52" t="s">
        <v>292</v>
      </c>
      <c r="C6" s="59">
        <v>9.890000000000001</v>
      </c>
      <c r="D6" s="60">
        <v>7.2</v>
      </c>
      <c r="E6" s="61">
        <v>650000</v>
      </c>
      <c r="F6" s="62">
        <v>0.99</v>
      </c>
      <c r="G6" s="62">
        <v>0.823</v>
      </c>
      <c r="H6" s="62">
        <v>0.5870000000000001</v>
      </c>
      <c r="I6" s="56">
        <v>10.5</v>
      </c>
      <c r="J6" s="63"/>
      <c r="K6" s="58" t="s">
        <v>295</v>
      </c>
    </row>
    <row r="7" spans="1:11" ht="20" customHeight="1">
      <c r="A7" s="18" t="s">
        <v>296</v>
      </c>
      <c r="B7" s="52" t="s">
        <v>292</v>
      </c>
      <c r="C7" s="53">
        <v>4.31</v>
      </c>
      <c r="D7" s="54">
        <v>5.9</v>
      </c>
      <c r="E7" s="33">
        <v>260000</v>
      </c>
      <c r="F7" s="55">
        <v>0.996</v>
      </c>
      <c r="G7" s="55">
        <v>0.7909999999999999</v>
      </c>
      <c r="H7" s="55">
        <v>0.523</v>
      </c>
      <c r="I7" s="56">
        <v>9.5</v>
      </c>
      <c r="J7" s="57"/>
      <c r="K7" s="58" t="s">
        <v>297</v>
      </c>
    </row>
    <row r="8" spans="1:11" ht="20" customHeight="1">
      <c r="A8" s="8" t="s">
        <v>298</v>
      </c>
      <c r="B8" s="52" t="s">
        <v>292</v>
      </c>
      <c r="C8" s="59">
        <v>2.69</v>
      </c>
      <c r="D8" s="60">
        <v>6.8</v>
      </c>
      <c r="E8" s="61">
        <v>180000</v>
      </c>
      <c r="F8" s="62">
        <v>0.997</v>
      </c>
      <c r="G8" s="62">
        <v>0.805</v>
      </c>
      <c r="H8" s="62">
        <v>0.541</v>
      </c>
      <c r="I8" s="56">
        <v>10</v>
      </c>
      <c r="J8" s="63"/>
      <c r="K8" s="58" t="s">
        <v>299</v>
      </c>
    </row>
    <row r="9" spans="1:11" ht="20" customHeight="1">
      <c r="A9" s="18" t="s">
        <v>300</v>
      </c>
      <c r="B9" s="52" t="s">
        <v>292</v>
      </c>
      <c r="C9" s="53">
        <v>1.47</v>
      </c>
      <c r="D9" s="54">
        <v>5.4</v>
      </c>
      <c r="E9" s="33">
        <v>90000</v>
      </c>
      <c r="F9" s="55">
        <v>0.9890000000000001</v>
      </c>
      <c r="G9" s="55">
        <v>0.7340000000000001</v>
      </c>
      <c r="H9" s="55">
        <v>0.482</v>
      </c>
      <c r="I9" s="56">
        <v>9</v>
      </c>
      <c r="J9" s="57"/>
      <c r="K9" s="58" t="s">
        <v>301</v>
      </c>
    </row>
    <row r="10" spans="1:11" ht="20" customHeight="1">
      <c r="A10" s="8" t="s">
        <v>302</v>
      </c>
      <c r="B10" s="52" t="s">
        <v>292</v>
      </c>
      <c r="C10" s="59">
        <v>4.52</v>
      </c>
      <c r="D10" s="60">
        <v>2.4</v>
      </c>
      <c r="E10" s="61">
        <v>185000</v>
      </c>
      <c r="F10" s="62">
        <v>0.9570000000000001</v>
      </c>
      <c r="G10" s="62">
        <v>0.621</v>
      </c>
      <c r="H10" s="62">
        <v>0.389</v>
      </c>
      <c r="I10" s="56">
        <v>7.5</v>
      </c>
      <c r="J10" s="63"/>
      <c r="K10" s="58" t="s">
        <v>303</v>
      </c>
    </row>
    <row r="11" spans="1:11" ht="20" customHeight="1">
      <c r="A11" s="18" t="s">
        <v>304</v>
      </c>
      <c r="B11" s="64" t="s">
        <v>305</v>
      </c>
      <c r="C11" s="53">
        <v>102.33</v>
      </c>
      <c r="D11" s="54">
        <v>1.1</v>
      </c>
      <c r="E11" s="33">
        <v>1850000</v>
      </c>
      <c r="F11" s="55">
        <v>0.7190000000000001</v>
      </c>
      <c r="G11" s="55">
        <v>0.352</v>
      </c>
      <c r="H11" s="55">
        <v>0.187</v>
      </c>
      <c r="I11" s="56">
        <v>3.5</v>
      </c>
      <c r="J11" s="57"/>
      <c r="K11" s="58" t="s">
        <v>306</v>
      </c>
    </row>
    <row r="12" spans="1:11" ht="20" customHeight="1">
      <c r="A12" s="8" t="s">
        <v>307</v>
      </c>
      <c r="B12" s="64" t="s">
        <v>305</v>
      </c>
      <c r="C12" s="59">
        <v>10.2</v>
      </c>
      <c r="D12" s="60">
        <v>2.2</v>
      </c>
      <c r="E12" s="61">
        <v>285000</v>
      </c>
      <c r="F12" s="62">
        <v>0.9009999999999999</v>
      </c>
      <c r="G12" s="62">
        <v>0.5870000000000001</v>
      </c>
      <c r="H12" s="62">
        <v>0.324</v>
      </c>
      <c r="I12" s="56">
        <v>5.5</v>
      </c>
      <c r="J12" s="63"/>
      <c r="K12" s="58" t="s">
        <v>308</v>
      </c>
    </row>
    <row r="13" spans="1:11" ht="20" customHeight="1">
      <c r="A13" s="18" t="s">
        <v>309</v>
      </c>
      <c r="B13" s="64" t="s">
        <v>305</v>
      </c>
      <c r="C13" s="53">
        <v>40.22</v>
      </c>
      <c r="D13" s="54">
        <v>1.8</v>
      </c>
      <c r="E13" s="33">
        <v>650000</v>
      </c>
      <c r="F13" s="55">
        <v>0.731</v>
      </c>
      <c r="G13" s="55">
        <v>0.289</v>
      </c>
      <c r="H13" s="55">
        <v>0.152</v>
      </c>
      <c r="I13" s="56">
        <v>4</v>
      </c>
      <c r="J13" s="57"/>
      <c r="K13" s="58" t="s">
        <v>310</v>
      </c>
    </row>
    <row r="14" spans="1:11" ht="20" customHeight="1">
      <c r="A14" s="8" t="s">
        <v>311</v>
      </c>
      <c r="B14" s="64" t="s">
        <v>305</v>
      </c>
      <c r="C14" s="59">
        <v>5.31</v>
      </c>
      <c r="D14" s="60">
        <v>1.4</v>
      </c>
      <c r="E14" s="61">
        <v>180000</v>
      </c>
      <c r="F14" s="62">
        <v>0.8740000000000001</v>
      </c>
      <c r="G14" s="62">
        <v>0.523</v>
      </c>
      <c r="H14" s="62">
        <v>0.289</v>
      </c>
      <c r="I14" s="56">
        <v>6.5</v>
      </c>
      <c r="J14" s="63"/>
      <c r="K14" s="58" t="s">
        <v>312</v>
      </c>
    </row>
    <row r="15" spans="1:11" ht="20" customHeight="1">
      <c r="A15" s="18" t="s">
        <v>313</v>
      </c>
      <c r="B15" s="64" t="s">
        <v>305</v>
      </c>
      <c r="C15" s="53">
        <v>5.35</v>
      </c>
      <c r="D15" s="54">
        <v>1.3</v>
      </c>
      <c r="E15" s="33">
        <v>125000</v>
      </c>
      <c r="F15" s="55">
        <v>0.7929999999999999</v>
      </c>
      <c r="G15" s="55">
        <v>0.431</v>
      </c>
      <c r="H15" s="55">
        <v>0.221</v>
      </c>
      <c r="I15" s="56">
        <v>4.5</v>
      </c>
      <c r="J15" s="57"/>
      <c r="K15" s="58" t="s">
        <v>314</v>
      </c>
    </row>
    <row r="16" spans="1:11" ht="20" customHeight="1">
      <c r="A16" s="8" t="s">
        <v>315</v>
      </c>
      <c r="B16" s="65" t="s">
        <v>316</v>
      </c>
      <c r="C16" s="59">
        <v>37.08</v>
      </c>
      <c r="D16" s="60">
        <v>1.7</v>
      </c>
      <c r="E16" s="61">
        <v>580000</v>
      </c>
      <c r="F16" s="62">
        <v>0.8809999999999999</v>
      </c>
      <c r="G16" s="62">
        <v>0.472</v>
      </c>
      <c r="H16" s="62">
        <v>0.243</v>
      </c>
      <c r="I16" s="56">
        <v>4</v>
      </c>
      <c r="J16" s="63"/>
      <c r="K16" s="58" t="s">
        <v>317</v>
      </c>
    </row>
    <row r="17" spans="1:11" ht="20" customHeight="1">
      <c r="A17" s="18" t="s">
        <v>318</v>
      </c>
      <c r="B17" s="65" t="s">
        <v>316</v>
      </c>
      <c r="C17" s="53">
        <v>44.61</v>
      </c>
      <c r="D17" s="54">
        <v>1.4</v>
      </c>
      <c r="E17" s="33">
        <v>520000</v>
      </c>
      <c r="F17" s="55">
        <v>0.713</v>
      </c>
      <c r="G17" s="55">
        <v>0.338</v>
      </c>
      <c r="H17" s="55">
        <v>0.179</v>
      </c>
      <c r="I17" s="56">
        <v>3.5</v>
      </c>
      <c r="J17" s="57"/>
      <c r="K17" s="58" t="s">
        <v>319</v>
      </c>
    </row>
    <row r="18" spans="1:11" ht="20" customHeight="1">
      <c r="A18" s="8" t="s">
        <v>320</v>
      </c>
      <c r="B18" s="65" t="s">
        <v>316</v>
      </c>
      <c r="C18" s="59">
        <v>11.82</v>
      </c>
      <c r="D18" s="60">
        <v>2.1</v>
      </c>
      <c r="E18" s="61">
        <v>195000</v>
      </c>
      <c r="F18" s="62">
        <v>0.9359999999999999</v>
      </c>
      <c r="G18" s="62">
        <v>0.614</v>
      </c>
      <c r="H18" s="62">
        <v>0.328</v>
      </c>
      <c r="I18" s="56">
        <v>4.5</v>
      </c>
      <c r="J18" s="63"/>
      <c r="K18" s="58" t="s">
        <v>321</v>
      </c>
    </row>
    <row r="19" spans="1:11" ht="20" customHeight="1">
      <c r="A19" s="18" t="s">
        <v>322</v>
      </c>
      <c r="B19" s="65" t="s">
        <v>316</v>
      </c>
      <c r="C19" s="53">
        <v>6.77</v>
      </c>
      <c r="D19" s="54">
        <v>1.9</v>
      </c>
      <c r="E19" s="33">
        <v>95000</v>
      </c>
      <c r="F19" s="55">
        <v>0.452</v>
      </c>
      <c r="G19" s="55">
        <v>0.187</v>
      </c>
      <c r="H19" s="55">
        <v>0.08900000000000001</v>
      </c>
      <c r="I19" s="56">
        <v>3</v>
      </c>
      <c r="J19" s="57"/>
      <c r="K19" s="58" t="s">
        <v>323</v>
      </c>
    </row>
    <row r="20" spans="1:11" ht="18" customHeight="1">
      <c r="A20" s="66" t="s">
        <v>292</v>
      </c>
      <c r="B20" s="67"/>
      <c r="C20" s="68">
        <v>69.75</v>
      </c>
      <c r="D20" s="69"/>
      <c r="E20" s="70">
        <v>2565000</v>
      </c>
      <c r="F20" s="69"/>
      <c r="G20" s="69"/>
      <c r="H20" s="69"/>
      <c r="I20" s="69"/>
      <c r="J20" s="69"/>
      <c r="K20" s="69"/>
    </row>
    <row r="21" spans="1:11" ht="18" customHeight="1">
      <c r="A21" s="71" t="s">
        <v>305</v>
      </c>
      <c r="B21" s="72"/>
      <c r="C21" s="73">
        <v>163.41</v>
      </c>
      <c r="D21" s="74"/>
      <c r="E21" s="75">
        <v>3090000</v>
      </c>
      <c r="F21" s="74"/>
      <c r="G21" s="74"/>
      <c r="H21" s="74"/>
      <c r="I21" s="74"/>
      <c r="J21" s="74"/>
      <c r="K21" s="74"/>
    </row>
    <row r="22" spans="1:11" ht="18" customHeight="1">
      <c r="A22" s="76" t="s">
        <v>316</v>
      </c>
      <c r="B22" s="77"/>
      <c r="C22" s="78">
        <v>100.28</v>
      </c>
      <c r="D22" s="79"/>
      <c r="E22" s="80">
        <v>1390000</v>
      </c>
      <c r="F22" s="79"/>
      <c r="G22" s="79"/>
      <c r="H22" s="79"/>
      <c r="I22" s="79"/>
      <c r="J22" s="79"/>
      <c r="K22" s="79"/>
    </row>
    <row r="23" spans="1:11" ht="18" customHeight="1">
      <c r="A23" s="13" t="s">
        <v>324</v>
      </c>
      <c r="B23" s="81"/>
      <c r="C23" s="82">
        <v>333.44</v>
      </c>
      <c r="D23" s="83"/>
      <c r="E23" s="84">
        <v>7045000</v>
      </c>
      <c r="F23" s="83"/>
      <c r="G23" s="83"/>
      <c r="H23" s="83"/>
      <c r="I23" s="83"/>
      <c r="J23" s="83"/>
      <c r="K23" s="83"/>
    </row>
    <row r="25" spans="1:11" ht="16" customHeight="1">
      <c r="A25" s="51" t="s">
        <v>325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</row>
    <row r="26" spans="1:11" ht="14" customHeight="1">
      <c r="A26" s="4" t="s">
        <v>282</v>
      </c>
      <c r="B26" s="4" t="s">
        <v>283</v>
      </c>
      <c r="C26" s="4" t="s">
        <v>290</v>
      </c>
      <c r="D26" s="4" t="s">
        <v>4</v>
      </c>
      <c r="E26" s="4" t="s">
        <v>5</v>
      </c>
      <c r="F26" s="4" t="s">
        <v>6</v>
      </c>
      <c r="G26" s="4" t="s">
        <v>7</v>
      </c>
      <c r="H26" s="4" t="s">
        <v>8</v>
      </c>
      <c r="I26" s="4"/>
      <c r="J26" s="4" t="s">
        <v>9</v>
      </c>
      <c r="K26" s="4"/>
    </row>
    <row r="27" spans="1:11" ht="20" customHeight="1">
      <c r="A27" s="18" t="s">
        <v>291</v>
      </c>
      <c r="B27" s="52" t="s">
        <v>292</v>
      </c>
      <c r="C27" s="56">
        <v>8.5</v>
      </c>
      <c r="D27" s="6">
        <v>5200</v>
      </c>
      <c r="E27" s="6">
        <v>9200</v>
      </c>
      <c r="F27" s="6">
        <v>13500</v>
      </c>
      <c r="G27" s="6">
        <v>18000</v>
      </c>
      <c r="H27" s="6">
        <v>22500</v>
      </c>
      <c r="I27" s="57"/>
      <c r="J27" s="85"/>
      <c r="K27" s="85"/>
    </row>
    <row r="28" spans="1:11" ht="20" customHeight="1">
      <c r="A28" s="8" t="s">
        <v>294</v>
      </c>
      <c r="B28" s="52" t="s">
        <v>292</v>
      </c>
      <c r="C28" s="56">
        <v>10.5</v>
      </c>
      <c r="D28" s="6">
        <v>2400</v>
      </c>
      <c r="E28" s="6">
        <v>4000</v>
      </c>
      <c r="F28" s="6">
        <v>5800</v>
      </c>
      <c r="G28" s="6">
        <v>7500</v>
      </c>
      <c r="H28" s="6">
        <v>9200</v>
      </c>
      <c r="I28" s="63"/>
      <c r="J28" s="86"/>
      <c r="K28" s="86"/>
    </row>
    <row r="29" spans="1:11" ht="20" customHeight="1">
      <c r="A29" s="18" t="s">
        <v>296</v>
      </c>
      <c r="B29" s="52" t="s">
        <v>292</v>
      </c>
      <c r="C29" s="56">
        <v>9.5</v>
      </c>
      <c r="D29" s="6">
        <v>900</v>
      </c>
      <c r="E29" s="6">
        <v>1500</v>
      </c>
      <c r="F29" s="6">
        <v>2200</v>
      </c>
      <c r="G29" s="6">
        <v>2900</v>
      </c>
      <c r="H29" s="6">
        <v>3600</v>
      </c>
      <c r="I29" s="57"/>
      <c r="J29" s="85"/>
      <c r="K29" s="85"/>
    </row>
    <row r="30" spans="1:11" ht="20" customHeight="1">
      <c r="A30" s="8" t="s">
        <v>298</v>
      </c>
      <c r="B30" s="52" t="s">
        <v>292</v>
      </c>
      <c r="C30" s="56">
        <v>10</v>
      </c>
      <c r="D30" s="6">
        <v>600</v>
      </c>
      <c r="E30" s="6">
        <v>1000</v>
      </c>
      <c r="F30" s="6">
        <v>1500</v>
      </c>
      <c r="G30" s="6">
        <v>1900</v>
      </c>
      <c r="H30" s="6">
        <v>2400</v>
      </c>
      <c r="I30" s="63"/>
      <c r="J30" s="86"/>
      <c r="K30" s="86"/>
    </row>
    <row r="31" spans="1:11" ht="20" customHeight="1">
      <c r="A31" s="18" t="s">
        <v>300</v>
      </c>
      <c r="B31" s="52" t="s">
        <v>292</v>
      </c>
      <c r="C31" s="56">
        <v>9</v>
      </c>
      <c r="D31" s="6">
        <v>300</v>
      </c>
      <c r="E31" s="6">
        <v>500</v>
      </c>
      <c r="F31" s="6">
        <v>700</v>
      </c>
      <c r="G31" s="6">
        <v>900</v>
      </c>
      <c r="H31" s="6">
        <v>1100</v>
      </c>
      <c r="I31" s="57"/>
      <c r="J31" s="85"/>
      <c r="K31" s="85"/>
    </row>
    <row r="32" spans="1:11" ht="20" customHeight="1">
      <c r="A32" s="8" t="s">
        <v>302</v>
      </c>
      <c r="B32" s="52" t="s">
        <v>292</v>
      </c>
      <c r="C32" s="56">
        <v>7.5</v>
      </c>
      <c r="D32" s="6">
        <v>600</v>
      </c>
      <c r="E32" s="6">
        <v>900</v>
      </c>
      <c r="F32" s="6">
        <v>1300</v>
      </c>
      <c r="G32" s="6">
        <v>1700</v>
      </c>
      <c r="H32" s="6">
        <v>2100</v>
      </c>
      <c r="I32" s="63"/>
      <c r="J32" s="86"/>
      <c r="K32" s="86"/>
    </row>
    <row r="33" spans="1:11" ht="20" customHeight="1">
      <c r="A33" s="18" t="s">
        <v>304</v>
      </c>
      <c r="B33" s="64" t="s">
        <v>305</v>
      </c>
      <c r="C33" s="56">
        <v>3.5</v>
      </c>
      <c r="D33" s="6">
        <v>3800</v>
      </c>
      <c r="E33" s="6">
        <v>5500</v>
      </c>
      <c r="F33" s="6">
        <v>8000</v>
      </c>
      <c r="G33" s="6">
        <v>11000</v>
      </c>
      <c r="H33" s="6">
        <v>14000</v>
      </c>
      <c r="I33" s="57"/>
      <c r="J33" s="85"/>
      <c r="K33" s="85"/>
    </row>
    <row r="34" spans="1:11" ht="20" customHeight="1">
      <c r="A34" s="8" t="s">
        <v>307</v>
      </c>
      <c r="B34" s="64" t="s">
        <v>305</v>
      </c>
      <c r="C34" s="56">
        <v>5.5</v>
      </c>
      <c r="D34" s="6">
        <v>0</v>
      </c>
      <c r="E34" s="6">
        <v>800</v>
      </c>
      <c r="F34" s="6">
        <v>1500</v>
      </c>
      <c r="G34" s="6">
        <v>2000</v>
      </c>
      <c r="H34" s="6">
        <v>2500</v>
      </c>
      <c r="I34" s="63"/>
      <c r="J34" s="86"/>
      <c r="K34" s="86"/>
    </row>
    <row r="35" spans="1:11" ht="20" customHeight="1">
      <c r="A35" s="18" t="s">
        <v>309</v>
      </c>
      <c r="B35" s="64" t="s">
        <v>305</v>
      </c>
      <c r="C35" s="56">
        <v>4</v>
      </c>
      <c r="D35" s="6">
        <v>0</v>
      </c>
      <c r="E35" s="6">
        <v>500</v>
      </c>
      <c r="F35" s="6">
        <v>1000</v>
      </c>
      <c r="G35" s="6">
        <v>1500</v>
      </c>
      <c r="H35" s="6">
        <v>2000</v>
      </c>
      <c r="I35" s="57"/>
      <c r="J35" s="85"/>
      <c r="K35" s="85"/>
    </row>
    <row r="36" spans="1:11" ht="20" customHeight="1">
      <c r="A36" s="8" t="s">
        <v>311</v>
      </c>
      <c r="B36" s="64" t="s">
        <v>305</v>
      </c>
      <c r="C36" s="56">
        <v>6.5</v>
      </c>
      <c r="D36" s="6">
        <v>0</v>
      </c>
      <c r="E36" s="6">
        <v>400</v>
      </c>
      <c r="F36" s="6">
        <v>600</v>
      </c>
      <c r="G36" s="6">
        <v>800</v>
      </c>
      <c r="H36" s="6">
        <v>1000</v>
      </c>
      <c r="I36" s="63"/>
      <c r="J36" s="86"/>
      <c r="K36" s="86"/>
    </row>
    <row r="37" spans="1:11" ht="20" customHeight="1">
      <c r="A37" s="18" t="s">
        <v>313</v>
      </c>
      <c r="B37" s="64" t="s">
        <v>305</v>
      </c>
      <c r="C37" s="56">
        <v>4.5</v>
      </c>
      <c r="D37" s="6">
        <v>0</v>
      </c>
      <c r="E37" s="6">
        <v>200</v>
      </c>
      <c r="F37" s="6">
        <v>400</v>
      </c>
      <c r="G37" s="6">
        <v>600</v>
      </c>
      <c r="H37" s="6">
        <v>800</v>
      </c>
      <c r="I37" s="57"/>
      <c r="J37" s="85"/>
      <c r="K37" s="85"/>
    </row>
    <row r="38" spans="1:11" ht="20" customHeight="1">
      <c r="A38" s="8" t="s">
        <v>315</v>
      </c>
      <c r="B38" s="65" t="s">
        <v>316</v>
      </c>
      <c r="C38" s="56">
        <v>4</v>
      </c>
      <c r="D38" s="6">
        <v>0</v>
      </c>
      <c r="E38" s="6">
        <v>0</v>
      </c>
      <c r="F38" s="6">
        <v>1200</v>
      </c>
      <c r="G38" s="6">
        <v>1800</v>
      </c>
      <c r="H38" s="6">
        <v>2400</v>
      </c>
      <c r="I38" s="63"/>
      <c r="J38" s="86"/>
      <c r="K38" s="86"/>
    </row>
    <row r="39" spans="1:11" ht="20" customHeight="1">
      <c r="A39" s="18" t="s">
        <v>318</v>
      </c>
      <c r="B39" s="65" t="s">
        <v>316</v>
      </c>
      <c r="C39" s="56">
        <v>3.5</v>
      </c>
      <c r="D39" s="6">
        <v>0</v>
      </c>
      <c r="E39" s="6">
        <v>0</v>
      </c>
      <c r="F39" s="6">
        <v>900</v>
      </c>
      <c r="G39" s="6">
        <v>1500</v>
      </c>
      <c r="H39" s="6">
        <v>2000</v>
      </c>
      <c r="I39" s="57"/>
      <c r="J39" s="85"/>
      <c r="K39" s="85"/>
    </row>
    <row r="40" spans="1:11" ht="20" customHeight="1">
      <c r="A40" s="8" t="s">
        <v>320</v>
      </c>
      <c r="B40" s="65" t="s">
        <v>316</v>
      </c>
      <c r="C40" s="56">
        <v>4.5</v>
      </c>
      <c r="D40" s="6">
        <v>0</v>
      </c>
      <c r="E40" s="6">
        <v>0</v>
      </c>
      <c r="F40" s="6">
        <v>600</v>
      </c>
      <c r="G40" s="6">
        <v>900</v>
      </c>
      <c r="H40" s="6">
        <v>1200</v>
      </c>
      <c r="I40" s="63"/>
      <c r="J40" s="86"/>
      <c r="K40" s="86"/>
    </row>
    <row r="41" spans="1:11" ht="20" customHeight="1">
      <c r="A41" s="18" t="s">
        <v>322</v>
      </c>
      <c r="B41" s="65" t="s">
        <v>316</v>
      </c>
      <c r="C41" s="56">
        <v>3</v>
      </c>
      <c r="D41" s="6">
        <v>0</v>
      </c>
      <c r="E41" s="6">
        <v>0</v>
      </c>
      <c r="F41" s="6">
        <v>0</v>
      </c>
      <c r="G41" s="6">
        <v>0</v>
      </c>
      <c r="H41" s="6">
        <v>200</v>
      </c>
      <c r="I41" s="57"/>
      <c r="J41" s="85"/>
      <c r="K41" s="85"/>
    </row>
    <row r="42" spans="1:11" ht="20" customHeight="1">
      <c r="A42" s="84" t="s">
        <v>326</v>
      </c>
      <c r="B42" s="84"/>
      <c r="C42" s="84"/>
      <c r="D42" s="84">
        <f>SUM(D27:D41)</f>
        <v>13800</v>
      </c>
      <c r="E42" s="84">
        <f>SUM(E27:E41)</f>
        <v>24500</v>
      </c>
      <c r="F42" s="84">
        <f>SUM(F27:F41)</f>
        <v>39200</v>
      </c>
      <c r="G42" s="84">
        <f>SUM(G27:G41)</f>
        <v>53000</v>
      </c>
      <c r="H42" s="84">
        <f>SUM(H27:H41)</f>
        <v>67000</v>
      </c>
      <c r="I42" s="84"/>
      <c r="J42" s="84"/>
      <c r="K42" s="84"/>
    </row>
    <row r="43" spans="1:11" ht="16" customHeight="1">
      <c r="A43" s="87" t="s">
        <v>327</v>
      </c>
      <c r="B43" s="45"/>
      <c r="C43" s="45"/>
      <c r="D43" s="88">
        <v>12000</v>
      </c>
      <c r="E43" s="88">
        <v>32000</v>
      </c>
      <c r="F43" s="88">
        <v>50000</v>
      </c>
      <c r="G43" s="88">
        <v>80000</v>
      </c>
      <c r="H43" s="88">
        <v>110000</v>
      </c>
    </row>
    <row r="45" spans="1:11" ht="16" customHeight="1">
      <c r="A45" s="51" t="s">
        <v>328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</row>
    <row r="46" spans="1:11" ht="14" customHeight="1">
      <c r="A46" s="89" t="s">
        <v>3</v>
      </c>
      <c r="B46" s="89" t="s">
        <v>4</v>
      </c>
      <c r="C46" s="89" t="s">
        <v>5</v>
      </c>
      <c r="D46" s="89" t="s">
        <v>6</v>
      </c>
      <c r="E46" s="89" t="s">
        <v>7</v>
      </c>
      <c r="F46" s="89" t="s">
        <v>8</v>
      </c>
      <c r="I46" s="89"/>
      <c r="J46" s="89" t="s">
        <v>9</v>
      </c>
      <c r="K46" s="89"/>
    </row>
    <row r="47" spans="1:11" ht="22" customHeight="1">
      <c r="A47" s="18" t="s">
        <v>329</v>
      </c>
      <c r="B47" s="33">
        <f>D27+D28+D29+D30+D31+D32</f>
        <v>10000</v>
      </c>
      <c r="C47" s="33">
        <f>E27+E28+E29+E30+E31+E32</f>
        <v>17100</v>
      </c>
      <c r="D47" s="33">
        <f>F27+F28+F29+F30+F31+F32</f>
        <v>25000</v>
      </c>
      <c r="E47" s="33">
        <f>G27+G28+G29+G30+G31+G32</f>
        <v>32900</v>
      </c>
      <c r="F47" s="33">
        <f>H27+H28+H29+H30+H31+H32</f>
        <v>40900</v>
      </c>
      <c r="G47" s="57"/>
      <c r="H47" s="85" t="s">
        <v>330</v>
      </c>
      <c r="I47" s="85"/>
      <c r="J47" s="85"/>
      <c r="K47" s="85"/>
    </row>
    <row r="48" spans="1:11" ht="22" customHeight="1">
      <c r="A48" s="8" t="s">
        <v>331</v>
      </c>
      <c r="B48" s="61">
        <f>D33+D34+D35+D36+D37</f>
        <v>3800</v>
      </c>
      <c r="C48" s="61">
        <f>E33+E34+E35+E36+E37</f>
        <v>7400</v>
      </c>
      <c r="D48" s="61">
        <f>F33+F34+F35+F36+F37</f>
        <v>11500</v>
      </c>
      <c r="E48" s="61">
        <f>G33+G34+G35+G36+G37</f>
        <v>15900</v>
      </c>
      <c r="F48" s="61">
        <f>H33+H34+H35+H36+H37</f>
        <v>20300</v>
      </c>
      <c r="G48" s="63"/>
      <c r="H48" s="86" t="s">
        <v>332</v>
      </c>
      <c r="I48" s="86"/>
      <c r="J48" s="86"/>
      <c r="K48" s="86"/>
    </row>
    <row r="49" spans="1:11" ht="22" customHeight="1">
      <c r="A49" s="18" t="s">
        <v>333</v>
      </c>
      <c r="B49" s="33">
        <f>D38+D39+D40+D41</f>
        <v>0</v>
      </c>
      <c r="C49" s="33">
        <f>E38+E39+E40+E41</f>
        <v>0</v>
      </c>
      <c r="D49" s="33">
        <f>F38+F39+F40+F41</f>
        <v>2700</v>
      </c>
      <c r="E49" s="33">
        <f>G38+G39+G40+G41</f>
        <v>4200</v>
      </c>
      <c r="F49" s="33">
        <f>H38+H39+H40+H41</f>
        <v>5800</v>
      </c>
      <c r="G49" s="57"/>
      <c r="H49" s="85" t="s">
        <v>334</v>
      </c>
      <c r="I49" s="85"/>
      <c r="J49" s="85"/>
      <c r="K49" s="85"/>
    </row>
    <row r="50" spans="1:11" ht="22" customHeight="1">
      <c r="A50" s="90" t="s">
        <v>335</v>
      </c>
      <c r="B50" s="91">
        <f>IFERROR(SUMPRODUCT($C$27:$C$41,D$27:D$41)/SUM(D$27:D$41),0)</f>
        <v>7.57</v>
      </c>
      <c r="C50" s="91">
        <f>IFERROR(SUMPRODUCT($C$27:$C$41,E$27:E$41)/SUM(E$27:E$41),0)</f>
        <v>7.54</v>
      </c>
      <c r="D50" s="91">
        <f>IFERROR(SUMPRODUCT($C$27:$C$41,F$27:F$41)/SUM(F$27:F$41),0)</f>
        <v>7.25</v>
      </c>
      <c r="E50" s="91">
        <f>IFERROR(SUMPRODUCT($C$27:$C$41,G$27:G$41)/SUM(G$27:G$41),0)</f>
        <v>7.15</v>
      </c>
      <c r="F50" s="91">
        <f>IFERROR(SUMPRODUCT($C$27:$C$41,H$27:H$41)/SUM(H$27:H$41),0)</f>
        <v>7.09</v>
      </c>
      <c r="G50" s="92"/>
      <c r="H50" s="93" t="s">
        <v>336</v>
      </c>
      <c r="I50" s="93"/>
      <c r="J50" s="93"/>
      <c r="K50" s="93"/>
    </row>
    <row r="51" spans="1:11" ht="22" customHeight="1">
      <c r="A51" s="18" t="s">
        <v>337</v>
      </c>
      <c r="B51" s="94">
        <f>Assumptions!B7</f>
        <v>6.5</v>
      </c>
      <c r="C51" s="94">
        <f>Assumptions!C7</f>
        <v>6.0</v>
      </c>
      <c r="D51" s="94">
        <f>Assumptions!D7</f>
        <v>5.75</v>
      </c>
      <c r="E51" s="94">
        <f>Assumptions!E7</f>
        <v>5.5</v>
      </c>
      <c r="F51" s="94">
        <f>Assumptions!F7</f>
        <v>5.25</v>
      </c>
      <c r="G51" s="57"/>
      <c r="H51" s="85" t="s">
        <v>338</v>
      </c>
      <c r="I51" s="85"/>
      <c r="J51" s="85"/>
      <c r="K51" s="85"/>
    </row>
    <row r="52" spans="1:11" ht="22" customHeight="1">
      <c r="A52" s="95" t="s">
        <v>339</v>
      </c>
      <c r="B52" s="96">
        <f>IFERROR(Assumptions!B7-SUMPRODUCT($C$27:$C$41,D$27:D$41)/SUM(D$27:D$41),0)</f>
        <v>-1.07</v>
      </c>
      <c r="C52" s="96">
        <f>IFERROR(Assumptions!C7-SUMPRODUCT($C$27:$C$41,E$27:E$41)/SUM(E$27:E$41),0)</f>
        <v>-1.54</v>
      </c>
      <c r="D52" s="96">
        <f>IFERROR(Assumptions!D7-SUMPRODUCT($C$27:$C$41,F$27:F$41)/SUM(F$27:F$41),0)</f>
        <v>-1.5</v>
      </c>
      <c r="E52" s="96">
        <f>IFERROR(Assumptions!E7-SUMPRODUCT($C$27:$C$41,G$27:G$41)/SUM(G$27:G$41),0)</f>
        <v>-1.65</v>
      </c>
      <c r="F52" s="96">
        <f>IFERROR(Assumptions!F7-SUMPRODUCT($C$27:$C$41,H$27:H$41)/SUM(H$27:H$41),0)</f>
        <v>-1.84</v>
      </c>
      <c r="G52" s="63"/>
      <c r="H52" s="86" t="s">
        <v>340</v>
      </c>
      <c r="I52" s="86"/>
      <c r="J52" s="86"/>
      <c r="K52" s="86"/>
    </row>
    <row r="55" spans="1:11" ht="16" customHeight="1">
      <c r="A55" s="51" t="s">
        <v>341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</row>
    <row r="56" spans="1:11" ht="14" customHeight="1">
      <c r="A56" s="97" t="s">
        <v>342</v>
      </c>
      <c r="B56" s="97"/>
      <c r="C56" s="97" t="s">
        <v>343</v>
      </c>
      <c r="D56" s="97"/>
      <c r="E56" s="97" t="s">
        <v>344</v>
      </c>
      <c r="F56" s="97"/>
      <c r="G56" s="97" t="s">
        <v>345</v>
      </c>
      <c r="H56" s="97"/>
      <c r="I56" s="97" t="s">
        <v>346</v>
      </c>
    </row>
    <row r="57" spans="1:11" ht="60" customHeight="1">
      <c r="A57" s="98" t="s">
        <v>347</v>
      </c>
      <c r="B57" s="98"/>
      <c r="C57" s="99" t="s">
        <v>348</v>
      </c>
      <c r="D57" s="99" t="s">
        <v>349</v>
      </c>
      <c r="E57" s="99" t="s">
        <v>350</v>
      </c>
      <c r="F57" s="99"/>
      <c r="G57" s="100" t="s">
        <v>351</v>
      </c>
      <c r="H57" s="100"/>
      <c r="I57" s="100"/>
      <c r="J57" s="100"/>
      <c r="K57" s="100"/>
    </row>
    <row r="58" spans="1:11" ht="60" customHeight="1">
      <c r="A58" s="101" t="s">
        <v>352</v>
      </c>
      <c r="B58" s="101"/>
      <c r="C58" s="102" t="s">
        <v>353</v>
      </c>
      <c r="D58" s="102" t="s">
        <v>354</v>
      </c>
      <c r="E58" s="102" t="s">
        <v>355</v>
      </c>
      <c r="F58" s="102"/>
      <c r="G58" s="103" t="s">
        <v>356</v>
      </c>
      <c r="H58" s="103"/>
      <c r="I58" s="103"/>
      <c r="J58" s="103"/>
      <c r="K58" s="103"/>
    </row>
    <row r="59" spans="1:11" ht="60" customHeight="1">
      <c r="A59" s="104" t="s">
        <v>357</v>
      </c>
      <c r="B59" s="104"/>
      <c r="C59" s="99" t="s">
        <v>358</v>
      </c>
      <c r="D59" s="99" t="s">
        <v>359</v>
      </c>
      <c r="E59" s="99" t="s">
        <v>360</v>
      </c>
      <c r="F59" s="99"/>
      <c r="G59" s="100" t="s">
        <v>361</v>
      </c>
      <c r="H59" s="100"/>
      <c r="I59" s="100"/>
      <c r="J59" s="100"/>
      <c r="K59" s="100"/>
    </row>
    <row r="60" spans="1:11" ht="60" customHeight="1">
      <c r="A60" s="105" t="s">
        <v>362</v>
      </c>
      <c r="B60" s="105"/>
      <c r="C60" s="102" t="s">
        <v>363</v>
      </c>
      <c r="D60" s="102" t="s">
        <v>364</v>
      </c>
      <c r="E60" s="102" t="s">
        <v>365</v>
      </c>
      <c r="F60" s="102"/>
      <c r="G60" s="103" t="s">
        <v>366</v>
      </c>
      <c r="H60" s="103"/>
      <c r="I60" s="103"/>
      <c r="J60" s="103"/>
      <c r="K60" s="103"/>
    </row>
    <row r="61" spans="1:11" ht="60" customHeight="1">
      <c r="A61" s="106" t="s">
        <v>367</v>
      </c>
      <c r="B61" s="106"/>
      <c r="C61" s="99" t="s">
        <v>368</v>
      </c>
      <c r="D61" s="99" t="s">
        <v>369</v>
      </c>
      <c r="E61" s="99" t="s">
        <v>370</v>
      </c>
      <c r="F61" s="99"/>
      <c r="G61" s="100" t="s">
        <v>371</v>
      </c>
      <c r="H61" s="100"/>
      <c r="I61" s="100"/>
      <c r="J61" s="100"/>
      <c r="K61" s="100"/>
    </row>
  </sheetData>
  <mergeCells count="36">
    <mergeCell ref="A1:K1"/>
    <mergeCell ref="A3:K3"/>
    <mergeCell ref="A25:K25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A45:K45"/>
    <mergeCell ref="H47:K47"/>
    <mergeCell ref="H48:K48"/>
    <mergeCell ref="H49:K49"/>
    <mergeCell ref="H50:K50"/>
    <mergeCell ref="H51:K51"/>
    <mergeCell ref="H52:K52"/>
    <mergeCell ref="A55:K55"/>
    <mergeCell ref="A57:B57"/>
    <mergeCell ref="G57:K57"/>
    <mergeCell ref="A58:B58"/>
    <mergeCell ref="G58:K58"/>
    <mergeCell ref="A59:B59"/>
    <mergeCell ref="G59:K59"/>
    <mergeCell ref="A60:B60"/>
    <mergeCell ref="G60:K60"/>
    <mergeCell ref="A61:B61"/>
    <mergeCell ref="G61:K6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1B5E20"/>
  </sheetPr>
  <dimension ref="A1:G49"/>
  <sheetViews>
    <sheetView showGridLines="0" zoomScale="85" zoomScaleNormal="85" workbookViewId="0"/>
  </sheetViews>
  <sheetFormatPr defaultRowHeight="15"/>
  <cols>
    <col min="1" max="1" width="34.7109375" customWidth="1"/>
    <col min="2" max="8" width="14.7109375" customWidth="1"/>
  </cols>
  <sheetData>
    <row r="1" spans="1:7" ht="20" customHeight="1">
      <c r="A1" s="37" t="s">
        <v>372</v>
      </c>
      <c r="B1" s="37"/>
      <c r="C1" s="37"/>
      <c r="D1" s="37"/>
      <c r="E1" s="37"/>
      <c r="F1" s="37"/>
      <c r="G1" s="37"/>
    </row>
    <row r="2" spans="1:7" ht="14" customHeight="1">
      <c r="A2" s="107" t="s">
        <v>373</v>
      </c>
      <c r="B2" s="107"/>
      <c r="C2" s="107"/>
      <c r="D2" s="107"/>
      <c r="E2" s="107"/>
      <c r="F2" s="107"/>
      <c r="G2" s="107"/>
    </row>
    <row r="4" spans="1:7" ht="16" customHeight="1">
      <c r="A4" s="51" t="s">
        <v>374</v>
      </c>
      <c r="B4" s="51"/>
      <c r="C4" s="51"/>
      <c r="D4" s="51"/>
      <c r="E4" s="51"/>
      <c r="F4" s="51"/>
      <c r="G4" s="51"/>
    </row>
    <row r="5" spans="1:7" ht="20" customHeight="1">
      <c r="A5" s="8" t="s">
        <v>375</v>
      </c>
      <c r="B5" s="6">
        <v>252</v>
      </c>
      <c r="C5" s="108"/>
      <c r="D5" s="108"/>
      <c r="E5" s="108"/>
      <c r="F5" s="108"/>
      <c r="G5" s="108"/>
    </row>
    <row r="6" spans="1:7" ht="20" customHeight="1">
      <c r="A6" s="8" t="s">
        <v>376</v>
      </c>
      <c r="B6" s="12">
        <v>700</v>
      </c>
      <c r="C6" s="108"/>
      <c r="D6" s="108"/>
      <c r="E6" s="108"/>
      <c r="F6" s="108"/>
      <c r="G6" s="108"/>
    </row>
    <row r="7" spans="1:7" ht="20" customHeight="1">
      <c r="A7" s="8" t="s">
        <v>377</v>
      </c>
      <c r="B7" s="6">
        <v>2</v>
      </c>
      <c r="C7" s="108"/>
      <c r="D7" s="108"/>
      <c r="E7" s="108"/>
      <c r="F7" s="108"/>
      <c r="G7" s="108"/>
    </row>
    <row r="8" spans="1:7" ht="20" customHeight="1">
      <c r="A8" s="8" t="s">
        <v>378</v>
      </c>
      <c r="B8" s="12">
        <v>1400</v>
      </c>
      <c r="C8" s="108"/>
      <c r="D8" s="108"/>
      <c r="E8" s="108"/>
      <c r="F8" s="108"/>
      <c r="G8" s="108"/>
    </row>
    <row r="9" spans="1:7" ht="20" customHeight="1">
      <c r="A9" s="8" t="s">
        <v>379</v>
      </c>
      <c r="B9" s="6">
        <v>2</v>
      </c>
      <c r="C9" s="108"/>
      <c r="D9" s="108"/>
      <c r="E9" s="108"/>
      <c r="F9" s="108"/>
      <c r="G9" s="108"/>
    </row>
    <row r="11" spans="1:7" ht="16" customHeight="1">
      <c r="A11" s="51" t="s">
        <v>380</v>
      </c>
      <c r="B11" s="51"/>
      <c r="C11" s="51"/>
      <c r="D11" s="51"/>
      <c r="E11" s="51"/>
      <c r="F11" s="51"/>
      <c r="G11" s="51"/>
    </row>
    <row r="12" spans="1:7" ht="20" customHeight="1">
      <c r="A12" s="8" t="s">
        <v>381</v>
      </c>
      <c r="B12" s="109">
        <f>B5*B8</f>
        <v>352800</v>
      </c>
    </row>
    <row r="13" spans="1:7" ht="20" customHeight="1">
      <c r="A13" s="8" t="s">
        <v>382</v>
      </c>
      <c r="B13" s="16">
        <f>B12/B9</f>
        <v>176400</v>
      </c>
    </row>
    <row r="15" spans="1:7" ht="16" customHeight="1">
      <c r="A15" s="51" t="s">
        <v>383</v>
      </c>
      <c r="B15" s="51"/>
      <c r="C15" s="51"/>
      <c r="D15" s="51"/>
      <c r="E15" s="51"/>
      <c r="F15" s="51"/>
      <c r="G15" s="51"/>
    </row>
    <row r="16" spans="1:7" ht="14" customHeight="1">
      <c r="A16" s="19"/>
      <c r="B16" s="19" t="s">
        <v>4</v>
      </c>
      <c r="C16" s="19" t="s">
        <v>5</v>
      </c>
      <c r="D16" s="19" t="s">
        <v>6</v>
      </c>
      <c r="E16" s="19" t="s">
        <v>7</v>
      </c>
      <c r="F16" s="19" t="s">
        <v>8</v>
      </c>
      <c r="G16" s="19"/>
    </row>
    <row r="17" spans="1:7" ht="20" customHeight="1">
      <c r="A17" s="8" t="s">
        <v>384</v>
      </c>
      <c r="B17" s="6">
        <v>20</v>
      </c>
      <c r="C17" s="6">
        <v>30</v>
      </c>
      <c r="D17" s="6">
        <v>40</v>
      </c>
      <c r="E17" s="6">
        <v>50</v>
      </c>
      <c r="F17" s="6">
        <v>60</v>
      </c>
    </row>
    <row r="18" spans="1:7" ht="20" customHeight="1">
      <c r="A18" s="8" t="s">
        <v>385</v>
      </c>
      <c r="B18" s="11">
        <f>B8</f>
        <v>1400</v>
      </c>
      <c r="C18" s="11">
        <f>B8</f>
        <v>1400</v>
      </c>
      <c r="D18" s="11">
        <f>B8</f>
        <v>1400</v>
      </c>
      <c r="E18" s="11">
        <f>B8</f>
        <v>1400</v>
      </c>
      <c r="F18" s="11">
        <f>B8</f>
        <v>1400</v>
      </c>
    </row>
    <row r="19" spans="1:7" ht="20" customHeight="1">
      <c r="A19" s="90" t="s">
        <v>386</v>
      </c>
      <c r="B19" s="109">
        <f>B17*B18</f>
        <v>28000</v>
      </c>
      <c r="C19" s="109">
        <f>C17*C18</f>
        <v>42000</v>
      </c>
      <c r="D19" s="109">
        <f>D17*D18</f>
        <v>56000</v>
      </c>
      <c r="E19" s="109">
        <f>E17*E18</f>
        <v>70000</v>
      </c>
      <c r="F19" s="109">
        <f>F17*F18</f>
        <v>84000</v>
      </c>
    </row>
    <row r="21" spans="1:7" ht="16" customHeight="1">
      <c r="A21" s="51" t="s">
        <v>387</v>
      </c>
      <c r="B21" s="51"/>
      <c r="C21" s="51"/>
      <c r="D21" s="51"/>
      <c r="E21" s="51"/>
      <c r="F21" s="51"/>
      <c r="G21" s="51"/>
    </row>
    <row r="22" spans="1:7" ht="14" customHeight="1">
      <c r="A22" s="19"/>
      <c r="B22" s="19" t="s">
        <v>4</v>
      </c>
      <c r="C22" s="19" t="s">
        <v>5</v>
      </c>
      <c r="D22" s="19" t="s">
        <v>6</v>
      </c>
      <c r="E22" s="19" t="s">
        <v>7</v>
      </c>
      <c r="F22" s="19" t="s">
        <v>8</v>
      </c>
      <c r="G22" s="19" t="s">
        <v>388</v>
      </c>
    </row>
    <row r="23" spans="1:7" ht="20" customHeight="1">
      <c r="A23" s="8" t="s">
        <v>389</v>
      </c>
      <c r="B23" s="11">
        <f>'5-Year P&amp;&amp;L'!B26</f>
        <v>-428986</v>
      </c>
      <c r="C23" s="11">
        <f>'5-Year P&amp;&amp;L'!C26</f>
        <v>116916</v>
      </c>
      <c r="D23" s="11">
        <f>'5-Year P&amp;&amp;L'!D26</f>
        <v>967324</v>
      </c>
      <c r="E23" s="11">
        <f>'5-Year P&amp;&amp;L'!E26</f>
        <v>1448142</v>
      </c>
      <c r="F23" s="11">
        <f>'5-Year P&amp;&amp;L'!F26</f>
        <v>1859734</v>
      </c>
      <c r="G23" s="110">
        <f>SUM(B23:F23)</f>
        <v>3963130</v>
      </c>
    </row>
    <row r="24" spans="1:7" ht="20" customHeight="1">
      <c r="A24" s="111" t="s">
        <v>390</v>
      </c>
      <c r="B24" s="112">
        <f>-B13</f>
        <v>-176400</v>
      </c>
      <c r="C24" s="112">
        <f>-B13</f>
        <v>-176400</v>
      </c>
      <c r="D24" s="113">
        <v>0</v>
      </c>
      <c r="E24" s="113">
        <v>0</v>
      </c>
      <c r="F24" s="113">
        <v>0</v>
      </c>
      <c r="G24" s="114">
        <f>SUM(B24:F24)</f>
        <v>-352800</v>
      </c>
    </row>
    <row r="25" spans="1:7" ht="20" customHeight="1">
      <c r="A25" s="111" t="s">
        <v>391</v>
      </c>
      <c r="B25" s="112">
        <f>-'Distributor Return'!B19</f>
        <v>-28000</v>
      </c>
      <c r="C25" s="112">
        <f>-'Distributor Return'!C19</f>
        <v>-42000</v>
      </c>
      <c r="D25" s="112">
        <f>-'Distributor Return'!D19</f>
        <v>-56000</v>
      </c>
      <c r="E25" s="112">
        <f>-'Distributor Return'!E19</f>
        <v>-70000</v>
      </c>
      <c r="F25" s="112">
        <f>-'Distributor Return'!F19</f>
        <v>-84000</v>
      </c>
      <c r="G25" s="114">
        <f>SUM(B25:F25)</f>
        <v>-280000</v>
      </c>
    </row>
    <row r="26" spans="1:7" ht="22" customHeight="1">
      <c r="A26" s="13" t="s">
        <v>392</v>
      </c>
      <c r="B26" s="14">
        <f>B23+B24+B25</f>
        <v>-633386</v>
      </c>
      <c r="C26" s="14">
        <f>C23+C24+C25</f>
        <v>-101484</v>
      </c>
      <c r="D26" s="14">
        <f>D23+D24+D25</f>
        <v>911324</v>
      </c>
      <c r="E26" s="14">
        <f>E23+E24+E25</f>
        <v>1378142</v>
      </c>
      <c r="F26" s="14">
        <f>F23+F24+F25</f>
        <v>1775734</v>
      </c>
      <c r="G26" s="14">
        <f>SUM(B26:F26)</f>
        <v>3330330</v>
      </c>
    </row>
    <row r="28" spans="1:7" ht="16" customHeight="1">
      <c r="A28" s="51" t="s">
        <v>393</v>
      </c>
      <c r="B28" s="51"/>
      <c r="C28" s="51"/>
      <c r="D28" s="51"/>
      <c r="E28" s="51"/>
      <c r="F28" s="51"/>
      <c r="G28" s="51"/>
    </row>
    <row r="29" spans="1:7" ht="14" customHeight="1">
      <c r="A29" s="19" t="s">
        <v>3</v>
      </c>
      <c r="B29" s="19" t="s">
        <v>394</v>
      </c>
      <c r="D29" s="19"/>
      <c r="E29" s="19" t="s">
        <v>395</v>
      </c>
      <c r="F29" s="19"/>
    </row>
    <row r="30" spans="1:7" ht="20" customHeight="1">
      <c r="A30" s="8" t="s">
        <v>396</v>
      </c>
      <c r="B30" s="115">
        <f>B12+SUM(B19:F19)</f>
        <v>632800</v>
      </c>
      <c r="D30" s="107" t="s">
        <v>397</v>
      </c>
      <c r="E30" s="107"/>
      <c r="F30" s="107"/>
      <c r="G30" s="107"/>
    </row>
    <row r="31" spans="1:7" ht="20" customHeight="1">
      <c r="A31" s="8" t="s">
        <v>398</v>
      </c>
      <c r="B31" s="115">
        <f>G23</f>
        <v>3963130</v>
      </c>
      <c r="D31" s="107" t="s">
        <v>399</v>
      </c>
      <c r="E31" s="107"/>
      <c r="F31" s="107"/>
      <c r="G31" s="107"/>
    </row>
    <row r="32" spans="1:7" ht="20" customHeight="1">
      <c r="A32" s="8" t="s">
        <v>400</v>
      </c>
      <c r="B32" s="115">
        <f>G26</f>
        <v>3330330</v>
      </c>
      <c r="D32" s="107" t="s">
        <v>401</v>
      </c>
      <c r="E32" s="107"/>
      <c r="F32" s="107"/>
      <c r="G32" s="107"/>
    </row>
    <row r="33" spans="1:7" ht="22" customHeight="1">
      <c r="A33" s="116" t="s">
        <v>402</v>
      </c>
      <c r="B33" s="117">
        <f>B31/B30</f>
        <v>6.262847661188369</v>
      </c>
      <c r="D33" s="107" t="s">
        <v>403</v>
      </c>
      <c r="E33" s="107"/>
      <c r="F33" s="107"/>
      <c r="G33" s="107"/>
    </row>
    <row r="34" spans="1:7" ht="20" customHeight="1">
      <c r="A34" s="116" t="s">
        <v>404</v>
      </c>
      <c r="B34" s="118">
        <v>2.8</v>
      </c>
      <c r="D34" s="107" t="s">
        <v>405</v>
      </c>
      <c r="E34" s="107"/>
      <c r="F34" s="107"/>
      <c r="G34" s="107"/>
    </row>
    <row r="36" spans="1:7" ht="16" customHeight="1">
      <c r="A36" s="119" t="s">
        <v>406</v>
      </c>
      <c r="B36" s="119"/>
      <c r="C36" s="119"/>
      <c r="D36" s="119"/>
      <c r="E36" s="119"/>
      <c r="F36" s="119"/>
      <c r="G36" s="119"/>
    </row>
    <row r="37" spans="1:7" ht="14" customHeight="1">
      <c r="A37" s="19"/>
      <c r="B37" s="19" t="s">
        <v>407</v>
      </c>
      <c r="C37" s="19" t="s">
        <v>4</v>
      </c>
      <c r="D37" s="19" t="s">
        <v>5</v>
      </c>
      <c r="E37" s="19" t="s">
        <v>6</v>
      </c>
      <c r="F37" s="19" t="s">
        <v>7</v>
      </c>
      <c r="G37" s="19" t="s">
        <v>8</v>
      </c>
    </row>
    <row r="38" spans="1:7" ht="20" customHeight="1">
      <c r="A38" s="8" t="s">
        <v>408</v>
      </c>
      <c r="B38" s="11">
        <f>-B12</f>
        <v>-352800</v>
      </c>
      <c r="C38" s="11">
        <f>C26</f>
        <v>-633386</v>
      </c>
      <c r="D38" s="11">
        <f>D26</f>
        <v>-101484</v>
      </c>
      <c r="E38" s="11">
        <f>E26</f>
        <v>911324</v>
      </c>
      <c r="F38" s="11">
        <f>F26</f>
        <v>1378142</v>
      </c>
      <c r="G38" s="11">
        <f>G26</f>
        <v>1775734</v>
      </c>
    </row>
    <row r="39" spans="1:7" ht="22" customHeight="1">
      <c r="A39" s="13" t="s">
        <v>409</v>
      </c>
      <c r="B39" s="14">
        <f>B38</f>
        <v>-352800</v>
      </c>
      <c r="C39" s="14">
        <f>B39+C38</f>
        <v>-986186</v>
      </c>
      <c r="D39" s="14">
        <f>C39+D38</f>
        <v>-1087670</v>
      </c>
      <c r="E39" s="14">
        <f>D39+E38</f>
        <v>-176346</v>
      </c>
      <c r="F39" s="14">
        <f>E39+F38</f>
        <v>1201796</v>
      </c>
      <c r="G39" s="14">
        <f>F39+G38</f>
        <v>2977530</v>
      </c>
    </row>
    <row r="41" spans="1:7" ht="16" customHeight="1">
      <c r="A41" s="51" t="s">
        <v>410</v>
      </c>
      <c r="B41" s="51"/>
      <c r="C41" s="51"/>
      <c r="D41" s="51"/>
      <c r="E41" s="51"/>
      <c r="F41" s="51"/>
      <c r="G41" s="51"/>
    </row>
    <row r="42" spans="1:7" ht="36" customHeight="1">
      <c r="A42" s="120" t="s">
        <v>411</v>
      </c>
      <c r="B42" s="121" t="s">
        <v>412</v>
      </c>
      <c r="C42" s="121"/>
      <c r="D42" s="121"/>
      <c r="E42" s="121"/>
      <c r="F42" s="121"/>
      <c r="G42" s="121"/>
    </row>
    <row r="43" spans="1:7" ht="36" customHeight="1">
      <c r="A43" s="95" t="s">
        <v>413</v>
      </c>
      <c r="B43" s="122" t="s">
        <v>414</v>
      </c>
      <c r="C43" s="122"/>
      <c r="D43" s="122"/>
      <c r="E43" s="122"/>
      <c r="F43" s="122"/>
      <c r="G43" s="122"/>
    </row>
    <row r="44" spans="1:7" ht="36" customHeight="1">
      <c r="A44" s="120" t="s">
        <v>415</v>
      </c>
      <c r="B44" s="121" t="s">
        <v>416</v>
      </c>
      <c r="C44" s="121"/>
      <c r="D44" s="121"/>
      <c r="E44" s="121"/>
      <c r="F44" s="121"/>
      <c r="G44" s="121"/>
    </row>
    <row r="45" spans="1:7" ht="36" customHeight="1">
      <c r="A45" s="95" t="s">
        <v>417</v>
      </c>
      <c r="B45" s="122" t="s">
        <v>418</v>
      </c>
      <c r="C45" s="122"/>
      <c r="D45" s="122"/>
      <c r="E45" s="122"/>
      <c r="F45" s="122"/>
      <c r="G45" s="122"/>
    </row>
    <row r="46" spans="1:7" ht="36" customHeight="1">
      <c r="A46" s="120" t="s">
        <v>419</v>
      </c>
      <c r="B46" s="121" t="s">
        <v>420</v>
      </c>
      <c r="C46" s="121"/>
      <c r="D46" s="121"/>
      <c r="E46" s="121"/>
      <c r="F46" s="121"/>
      <c r="G46" s="121"/>
    </row>
    <row r="47" spans="1:7" ht="36" customHeight="1">
      <c r="A47" s="95" t="s">
        <v>421</v>
      </c>
      <c r="B47" s="122" t="s">
        <v>422</v>
      </c>
      <c r="C47" s="122"/>
      <c r="D47" s="122"/>
      <c r="E47" s="122"/>
      <c r="F47" s="122"/>
      <c r="G47" s="122"/>
    </row>
    <row r="48" spans="1:7" ht="36" customHeight="1">
      <c r="A48" s="120" t="s">
        <v>423</v>
      </c>
      <c r="B48" s="121" t="s">
        <v>424</v>
      </c>
      <c r="C48" s="121"/>
      <c r="D48" s="121"/>
      <c r="E48" s="121"/>
      <c r="F48" s="121"/>
      <c r="G48" s="121"/>
    </row>
    <row r="49" spans="1:7" ht="36" customHeight="1">
      <c r="A49" s="95" t="s">
        <v>425</v>
      </c>
      <c r="B49" s="122" t="s">
        <v>426</v>
      </c>
      <c r="C49" s="122"/>
      <c r="D49" s="122"/>
      <c r="E49" s="122"/>
      <c r="F49" s="122"/>
      <c r="G49" s="122"/>
    </row>
  </sheetData>
  <mergeCells count="27">
    <mergeCell ref="A1:G1"/>
    <mergeCell ref="A2:G2"/>
    <mergeCell ref="A4:G4"/>
    <mergeCell ref="C5:G5"/>
    <mergeCell ref="C6:G6"/>
    <mergeCell ref="C7:G7"/>
    <mergeCell ref="C8:G8"/>
    <mergeCell ref="C9:G9"/>
    <mergeCell ref="A11:G11"/>
    <mergeCell ref="A15:G15"/>
    <mergeCell ref="A21:G21"/>
    <mergeCell ref="A28:G28"/>
    <mergeCell ref="D30:G30"/>
    <mergeCell ref="D31:G31"/>
    <mergeCell ref="D32:G32"/>
    <mergeCell ref="D33:G33"/>
    <mergeCell ref="D34:G34"/>
    <mergeCell ref="A36:G36"/>
    <mergeCell ref="A41:G41"/>
    <mergeCell ref="B42:G42"/>
    <mergeCell ref="B43:G43"/>
    <mergeCell ref="B44:G44"/>
    <mergeCell ref="B45:G45"/>
    <mergeCell ref="B46:G46"/>
    <mergeCell ref="B47:G47"/>
    <mergeCell ref="B48:G48"/>
    <mergeCell ref="B49:G4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Assumptions</vt:lpstr>
      <vt:lpstr>5-Year P&amp;L</vt:lpstr>
      <vt:lpstr>Opex Rationale</vt:lpstr>
      <vt:lpstr>Territory &amp; Launch</vt:lpstr>
      <vt:lpstr>Distributor Return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2026-02-26T09:36:25Z</dcterms:created>
  <dcterms:modified xsi:type="dcterms:W3CDTF">2026-02-26T09:36:25Z</dcterms:modified>
</cp:coreProperties>
</file>